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6" tabRatio="912" firstSheet="17" activeTab="24"/>
  </bookViews>
  <sheets>
    <sheet name="coste Jun 2015" sheetId="1" r:id="rId1"/>
    <sheet name="consumo Jun 2015" sheetId="2" r:id="rId2"/>
    <sheet name="coste Jul 2015" sheetId="3" r:id="rId3"/>
    <sheet name="consumo Jul 2015" sheetId="4" r:id="rId4"/>
    <sheet name="coste Ago 2015" sheetId="5" r:id="rId5"/>
    <sheet name="consumo Ago 2015" sheetId="6" r:id="rId6"/>
    <sheet name="coste Sep 2015" sheetId="7" r:id="rId7"/>
    <sheet name="consumo Sep 2015" sheetId="8" r:id="rId8"/>
    <sheet name=" coste Oct 2015" sheetId="9" r:id="rId9"/>
    <sheet name="consumo Oct 2015" sheetId="10" r:id="rId10"/>
    <sheet name=" coste Nov 2015" sheetId="11" r:id="rId11"/>
    <sheet name="consumo Nov 2015" sheetId="12" r:id="rId12"/>
    <sheet name=" coste Dic 2015" sheetId="13" r:id="rId13"/>
    <sheet name="consumo Dic 2015" sheetId="14" r:id="rId14"/>
    <sheet name=" coste Ene 2016" sheetId="15" r:id="rId15"/>
    <sheet name="consumo Ene 2016" sheetId="16" r:id="rId16"/>
    <sheet name="coste Feb 2016" sheetId="17" r:id="rId17"/>
    <sheet name="consumo Feb 2016" sheetId="18" r:id="rId18"/>
    <sheet name=" coste Mar 2016" sheetId="19" r:id="rId19"/>
    <sheet name="consumo Mar 2016" sheetId="20" r:id="rId20"/>
    <sheet name=" coste Abr 2016" sheetId="21" r:id="rId21"/>
    <sheet name="consumo Abr 2016" sheetId="22" r:id="rId22"/>
    <sheet name="coste May 2016" sheetId="23" r:id="rId23"/>
    <sheet name="consumo May 2016" sheetId="24" r:id="rId24"/>
    <sheet name="coste Jun 2016" sheetId="25" r:id="rId25"/>
    <sheet name="consumo Jun 2016" sheetId="26" r:id="rId26"/>
  </sheets>
  <definedNames>
    <definedName name="_xlnm.Print_Area" localSheetId="12">' coste Dic 2015'!$A$1:$I$131</definedName>
    <definedName name="_xlnm.Print_Area" localSheetId="14">' coste Ene 2016'!$A$1:$I$131</definedName>
    <definedName name="_xlnm.Print_Area" localSheetId="10">' coste Nov 2015'!$A$1:$I$131</definedName>
    <definedName name="_xlnm.Print_Area" localSheetId="8">' coste Oct 2015'!$A$1:$I$131</definedName>
    <definedName name="_xlnm.Print_Area" localSheetId="21">'consumo Abr 2016'!$A$1:$I$131</definedName>
    <definedName name="_xlnm.Print_Area" localSheetId="5">'consumo Ago 2015'!$A$1:$I$131</definedName>
    <definedName name="_xlnm.Print_Area" localSheetId="13">'consumo Dic 2015'!$A$1:$I$131</definedName>
    <definedName name="_xlnm.Print_Area" localSheetId="15">'consumo Ene 2016'!$A$1:$I$131</definedName>
    <definedName name="_xlnm.Print_Area" localSheetId="17">'consumo Feb 2016'!$A$1:$I$131</definedName>
    <definedName name="_xlnm.Print_Area" localSheetId="3">'consumo Jul 2015'!$A$1:$I$131</definedName>
    <definedName name="_xlnm.Print_Area" localSheetId="1">'consumo Jun 2015'!$A$1:$I$131</definedName>
    <definedName name="_xlnm.Print_Area" localSheetId="25">'consumo Jun 2016'!$A$1:$I$131</definedName>
    <definedName name="_xlnm.Print_Area" localSheetId="19">'consumo Mar 2016'!$A$1:$I$131</definedName>
    <definedName name="_xlnm.Print_Area" localSheetId="23">'consumo May 2016'!$A$1:$I$131</definedName>
    <definedName name="_xlnm.Print_Area" localSheetId="11">'consumo Nov 2015'!$A$1:$I$131</definedName>
    <definedName name="_xlnm.Print_Area" localSheetId="9">'consumo Oct 2015'!$A$1:$I$131</definedName>
    <definedName name="_xlnm.Print_Area" localSheetId="7">'consumo Sep 2015'!$A$1:$I$131</definedName>
    <definedName name="_xlnm.Print_Area" localSheetId="0">'coste Jun 2015'!$A$1:$J$131</definedName>
    <definedName name="_xlnm.Print_Area" localSheetId="24">'coste Jun 2016'!$A$1:$I$131</definedName>
    <definedName name="_xlnm.Print_Area" localSheetId="22">'coste May 2016'!$A$1:$I$131</definedName>
    <definedName name="_xlnm.Print_Area" localSheetId="6">'coste Sep 2015'!$A$1:$I$131</definedName>
    <definedName name="_xlnm.Print_Titles" localSheetId="21">'consumo Abr 2016'!$1:$7</definedName>
    <definedName name="_xlnm.Print_Titles" localSheetId="5">'consumo Ago 2015'!$1:$7</definedName>
    <definedName name="_xlnm.Print_Titles" localSheetId="13">'consumo Dic 2015'!$1:$7</definedName>
    <definedName name="_xlnm.Print_Titles" localSheetId="15">'consumo Ene 2016'!$1:$7</definedName>
    <definedName name="_xlnm.Print_Titles" localSheetId="17">'consumo Feb 2016'!$1:$7</definedName>
    <definedName name="_xlnm.Print_Titles" localSheetId="3">'consumo Jul 2015'!$1:$7</definedName>
    <definedName name="_xlnm.Print_Titles" localSheetId="1">'consumo Jun 2015'!$1:$7</definedName>
    <definedName name="_xlnm.Print_Titles" localSheetId="19">'consumo Mar 2016'!$1:$7</definedName>
    <definedName name="_xlnm.Print_Titles" localSheetId="11">'consumo Nov 2015'!$1:$7</definedName>
    <definedName name="_xlnm.Print_Titles" localSheetId="9">'consumo Oct 2015'!$1:$7</definedName>
    <definedName name="_xlnm.Print_Titles" localSheetId="7">'consumo Sep 2015'!$1:$7</definedName>
    <definedName name="_xlnm.Print_Titles" localSheetId="22">'coste May 2016'!$1:$7</definedName>
  </definedNames>
  <calcPr fullCalcOnLoad="1"/>
</workbook>
</file>

<file path=xl/comments15.xml><?xml version="1.0" encoding="utf-8"?>
<comments xmlns="http://schemas.openxmlformats.org/spreadsheetml/2006/main">
  <authors>
    <author>Jonay</author>
  </authors>
  <commentList>
    <comment ref="I25" authorId="0">
      <text>
        <r>
          <rPr>
            <b/>
            <sz val="12"/>
            <rFont val="Tahoma"/>
            <family val="2"/>
          </rPr>
          <t>Existen dos facturas con distintos costes para este mes además de otra con importe a su favor.</t>
        </r>
      </text>
    </comment>
  </commentList>
</comments>
</file>

<file path=xl/comments23.xml><?xml version="1.0" encoding="utf-8"?>
<comments xmlns="http://schemas.openxmlformats.org/spreadsheetml/2006/main">
  <authors>
    <author>Jonay</author>
  </authors>
  <commentList>
    <comment ref="I32" authorId="0">
      <text>
        <r>
          <rPr>
            <b/>
            <sz val="12"/>
            <rFont val="Tahoma"/>
            <family val="2"/>
          </rPr>
          <t>En este mes existe una factura de 1 día por importe de -341,07€</t>
        </r>
      </text>
    </comment>
    <comment ref="I75" authorId="0">
      <text>
        <r>
          <rPr>
            <sz val="12"/>
            <rFont val="Tahoma"/>
            <family val="2"/>
          </rPr>
          <t xml:space="preserve">Se repinten facturas de mayo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Jonay</author>
  </authors>
  <commentList>
    <comment ref="I25" authorId="0">
      <text>
        <r>
          <rPr>
            <sz val="14"/>
            <rFont val="Tahoma"/>
            <family val="2"/>
          </rPr>
          <t>Factura con importe a su favor.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Jonay</author>
  </authors>
  <commentList>
    <comment ref="I25" authorId="0">
      <text>
        <r>
          <rPr>
            <sz val="14"/>
            <rFont val="Tahoma"/>
            <family val="2"/>
          </rPr>
          <t>Factura con importe a su favor.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<sst xmlns="http://schemas.openxmlformats.org/spreadsheetml/2006/main" count="9022" uniqueCount="374">
  <si>
    <t>TOTAL</t>
  </si>
  <si>
    <t>CUADRO</t>
  </si>
  <si>
    <t>Contrato</t>
  </si>
  <si>
    <t>DENOMINACION</t>
  </si>
  <si>
    <t xml:space="preserve">PUNTA </t>
  </si>
  <si>
    <t>VALLE</t>
  </si>
  <si>
    <t>Importe</t>
  </si>
  <si>
    <t>IGIC 3%</t>
  </si>
  <si>
    <t>IGIC 7%</t>
  </si>
  <si>
    <t>DEPENDENCIAS  DE LA OROTAVA</t>
  </si>
  <si>
    <t>Coste energético Junio de 2015</t>
  </si>
  <si>
    <t>CUPS</t>
  </si>
  <si>
    <t>Consumo energético Junio de 2015</t>
  </si>
  <si>
    <t>LLANO</t>
  </si>
  <si>
    <t>Coste energético Julio de 2015</t>
  </si>
  <si>
    <t>CR TF-326 117, BENIJOS</t>
  </si>
  <si>
    <t>ES0031601046197001ND0F</t>
  </si>
  <si>
    <t>PZ DE LA PIEDAD 0, LA PIEDAD, C.CIV.SOCIAL</t>
  </si>
  <si>
    <t>CN LOS GOMEZ 0, AP JTO CAM FUTB</t>
  </si>
  <si>
    <t>ES0031607305399001DH0F</t>
  </si>
  <si>
    <t>ES0031601298068001GX0F</t>
  </si>
  <si>
    <t>LEON 9, UNICO</t>
  </si>
  <si>
    <t>ES0031607305097001NP0F</t>
  </si>
  <si>
    <t>PINTOR HERNANDEZ QUINTANA 0, CAMPO FUTBOL</t>
  </si>
  <si>
    <t>ES0031607608490001YP0F</t>
  </si>
  <si>
    <t>EL CALVARIO (LA OROTAVA) 4, TEOB. POWER, SALA</t>
  </si>
  <si>
    <t>ES0031607304019008VW0F</t>
  </si>
  <si>
    <t>CN LA ARBEJA 0, CAMPO FUTBOL, LA LUZ</t>
  </si>
  <si>
    <t>ES0031607301203001BT0F</t>
  </si>
  <si>
    <t>AV SOR SOLEDAD COBIAN 0, ESTADIO FUTBOL</t>
  </si>
  <si>
    <t>ES0031607305456001GR0F</t>
  </si>
  <si>
    <t>MIGUEL DE CERVANTES 0, GRAL VARELA, CASA MUSICA</t>
  </si>
  <si>
    <t>ES0031607304804002SY0F</t>
  </si>
  <si>
    <t>PZ DEL AYUNTAMIENTO 0, PLAZA, CUADRO CA-23</t>
  </si>
  <si>
    <t>ES0031607346367002SM0F</t>
  </si>
  <si>
    <t>FLORIDA 0, COLEGIO EGB, UNICO 1, LA FLORIDA</t>
  </si>
  <si>
    <t>ES0031607532440001XZ0F</t>
  </si>
  <si>
    <t>AV DE LA COMUNIDAD IBEROAMERICANA 5 A, CARMENATY, LOC, COLEGIO</t>
  </si>
  <si>
    <t>ES0031601039605001YQ0F</t>
  </si>
  <si>
    <t>GARABOTO 0, S.R.Y CAJAL, COLEGIO</t>
  </si>
  <si>
    <t>ES0031607305397001ZL0F</t>
  </si>
  <si>
    <t>EDUCADORA LUCIA MESA 2, UNICO</t>
  </si>
  <si>
    <t>ES0031607545804001MW0F</t>
  </si>
  <si>
    <t>CR TF-211 EL RAMAL 0, FUENTE AGUA, MOT, PLAZA</t>
  </si>
  <si>
    <t>ES0031601097203001GJ0F</t>
  </si>
  <si>
    <t>LEON 15 A, JARDIN VICTO</t>
  </si>
  <si>
    <t>ES0031601025387001AH0F</t>
  </si>
  <si>
    <t>SAN FRANCISCO 5, CASA BALCON</t>
  </si>
  <si>
    <t>ES0031607301443001AH0F</t>
  </si>
  <si>
    <t>LA MONTAÑETA 1, POLIDEPORTIV, LA PERDOMA</t>
  </si>
  <si>
    <t>ES0031601066979001EZ0F</t>
  </si>
  <si>
    <t>CN POLO 0, JTO 128 FUENTE, MOT, LA FLORIDA</t>
  </si>
  <si>
    <t>ES0031601192870001GP0F</t>
  </si>
  <si>
    <t>AV LA TORRITA 0, C-821 FUENTE</t>
  </si>
  <si>
    <t>ES0031601192876001NM0F</t>
  </si>
  <si>
    <t>LA MONTAÑETA 0, ST.TER.JESUS, COLEGIO, LA PERDOMA</t>
  </si>
  <si>
    <t>ES0031607306696001MW0F</t>
  </si>
  <si>
    <t>CR TF-322 0, COLEGIO EGB, UNICO, LA LUZ</t>
  </si>
  <si>
    <t>ES0031607301199001KW0F</t>
  </si>
  <si>
    <t>LG BARROSO 0, M. DE FALLA, COLEGIO, LOS FRONTONES</t>
  </si>
  <si>
    <t>ES0031607305393001RK0F</t>
  </si>
  <si>
    <t>LG BARROSO 0, M. DE FALLA, COLEGIO., LOS FRONTONES</t>
  </si>
  <si>
    <t>ES0031607305393002RE0F</t>
  </si>
  <si>
    <t>COLOGAN 2, POLICIA</t>
  </si>
  <si>
    <t>ES0031607517811001DA0F</t>
  </si>
  <si>
    <t>EL ROSARIO 0, DTE Nº 41, COLEGIO, LA PERDOMA</t>
  </si>
  <si>
    <t>ES0031607306697001WJ0F</t>
  </si>
  <si>
    <t>SAN AGUSTIN 9, UNICO</t>
  </si>
  <si>
    <t>ES0031607305444002BP0F</t>
  </si>
  <si>
    <t>PADRE ANTONIO MARIA HERNANDEZ 22, RISCO CAIDO, C.REHABILITA</t>
  </si>
  <si>
    <t>ES0031607305429001AA0F</t>
  </si>
  <si>
    <t>TF-324-LA CANCELA 0, FUENTE, MOT, ROTONDA</t>
  </si>
  <si>
    <t>ES0031601067698001AB0F</t>
  </si>
  <si>
    <t>CR TF-324 0, FUENTE, MOT, MARZAGANA, LA PERDOMA</t>
  </si>
  <si>
    <t>ES0031601067700001KX0F</t>
  </si>
  <si>
    <t>CN LA ARBEJA 0, LA ARBEJA, 189, CGIO.PROFESI, LA LUZ</t>
  </si>
  <si>
    <t>ES0031607301201001QR0F</t>
  </si>
  <si>
    <t>CN CHASNA 0, CGIO.EGB, COLEGIO EGB, AGUAMANSA</t>
  </si>
  <si>
    <t>ES0031607299700001YG0F</t>
  </si>
  <si>
    <t>EDUCADORA LUCIA MESA 0, QUIQUIRA, COLEGIO EGB</t>
  </si>
  <si>
    <t>ES0031607305434001JN0F</t>
  </si>
  <si>
    <t>PS LAS ARAUCARIAS 0, QUIQUIRA, POLIDEPORTIV</t>
  </si>
  <si>
    <t>ES0031607305433002QW0F</t>
  </si>
  <si>
    <t>CR TF-211 EL RAMAL 1, STO TOMAS, COLEGIO</t>
  </si>
  <si>
    <t>ES0031607603863001JX0F</t>
  </si>
  <si>
    <t>CR TF-217 0, POLIDEPORTIV, LAS CUEVAS</t>
  </si>
  <si>
    <t>ES0031601129203001SK0F</t>
  </si>
  <si>
    <t>AGUSTIN DE BETHENCOURT 7, LA FARIÑA, POLIDEPORTIV</t>
  </si>
  <si>
    <t>ES0031607525141003QC0F</t>
  </si>
  <si>
    <t>CN SAN AGUSTIN 0, Nº1-POLIDEPO, LOC, POLIDEPORTIV, AGUAMANSA</t>
  </si>
  <si>
    <t>ES0031601069516001HE0F</t>
  </si>
  <si>
    <t>ES0031601072166001YP0F</t>
  </si>
  <si>
    <t>CR TF-217 0, C.CIVICO, LOC, C.CIVICO, LAS CUEVAS</t>
  </si>
  <si>
    <t>ES0031601153080001HP0F</t>
  </si>
  <si>
    <t>TF-21 AGUAMANSA 0, IGLESIA, LOC, POLIDEPORTIV</t>
  </si>
  <si>
    <t>COLEGIO 0, IGLESIA CONC, FRTE.IGLESIA</t>
  </si>
  <si>
    <t>ES0031601054363001GC0F</t>
  </si>
  <si>
    <t>CR CAÑADAS 0, AP P.KM.0-2500, ALUMBRADO, LA FLORIDA</t>
  </si>
  <si>
    <t>ES0031601149406001ZM0F</t>
  </si>
  <si>
    <t>CN GUANCHE 0, CUADRO FL-03, TERRERO LUCH, LA FLORIDA</t>
  </si>
  <si>
    <t>ES0031601042160001AS0F</t>
  </si>
  <si>
    <t>CR TF-21 354, VIVIENDA, AGUAMANSA</t>
  </si>
  <si>
    <t>ES0031607602210002HK0F</t>
  </si>
  <si>
    <t>CN EL VELO (AGUAMANSA) 69, AGUAMANSA, COLEGIO EGB</t>
  </si>
  <si>
    <t>ES0031607299691002MK0F</t>
  </si>
  <si>
    <t>CN FIESCO 2, PAB POLIDEPORTIV</t>
  </si>
  <si>
    <t>ES0031601266918001BZ0F</t>
  </si>
  <si>
    <t>SOR JOSEFA DE SACRAMENTO 14, DIEGO MESA, GUARDERIA</t>
  </si>
  <si>
    <t>ES0031601292160001KC0F</t>
  </si>
  <si>
    <t>LEPANTO 0, GPO CENT.3º EDAD</t>
  </si>
  <si>
    <t>ES0031601288139001HH0F</t>
  </si>
  <si>
    <t>Consumo energético Julio de 2015</t>
  </si>
  <si>
    <t>Coste energético Agosto de 2015</t>
  </si>
  <si>
    <t>Consumo energético Agosto de 2015</t>
  </si>
  <si>
    <t>Coste energético Septiembre de 2015</t>
  </si>
  <si>
    <t>Consumo energético Septiembre de 2015</t>
  </si>
  <si>
    <t>DEPENDENCIAS DE LA OROTAVA</t>
  </si>
  <si>
    <t>Coste energético Octubre de 2015</t>
  </si>
  <si>
    <t>Consumo energético Octubre de 2015</t>
  </si>
  <si>
    <t>Coste energético Noviembre de 2015</t>
  </si>
  <si>
    <t>Consumo energético Noviembre de 2015</t>
  </si>
  <si>
    <t>Coste energético Diciembre de 2015</t>
  </si>
  <si>
    <t>Consumo energético Diciembre de 2015</t>
  </si>
  <si>
    <t>Coste energético Enero de 2016</t>
  </si>
  <si>
    <t>Consumo energético Enero de 2016</t>
  </si>
  <si>
    <t>N CHASNA 0, SN, LOC, LOCAL COMUNI, AGUAMANSA</t>
  </si>
  <si>
    <t>ES0031601013710002XG0F</t>
  </si>
  <si>
    <t>AV EL MAYORAZGO DE FRANCHY 19, SAN FERNANDO, LOC, BAJO</t>
  </si>
  <si>
    <t>ES0031601033986047XP0F</t>
  </si>
  <si>
    <t>CN PINO ALTO 20, COLEGIO, COLEGIO, PINO ALTO</t>
  </si>
  <si>
    <t>ES0031601043196002JG0F</t>
  </si>
  <si>
    <t>GARCIA BELTRAN 1, ALMACEN AYTO, CUADRO CA-18</t>
  </si>
  <si>
    <t>ES0031601064856001VY0F</t>
  </si>
  <si>
    <t>FRANCISCO PADRON PEREZ 10, URB.OBISPO, POLIDEPORTIV</t>
  </si>
  <si>
    <t>ES0031601066968001GP0F</t>
  </si>
  <si>
    <t>FRANCISCO PADRON PEREZ 5, C.C.Y SOCIAL, LOC, C.C.Y SOCIAL</t>
  </si>
  <si>
    <t>ES0031601066971001LH0F</t>
  </si>
  <si>
    <t>PZ DE LA PIEDAD 0, Nº19 ALMACEN, LOC, JARDINERIA</t>
  </si>
  <si>
    <t>ES0031601067043001EM0F</t>
  </si>
  <si>
    <t>CR GENERAL LA CUESTA 0, Nº 23 FUENTE, MOT, ROTONDA, LA PERDOMA</t>
  </si>
  <si>
    <t>ES0031601067676001NE0F</t>
  </si>
  <si>
    <t>SUSERTE 1, PSJ 1COLOMBO, LOC, OFICINA, EL BEBEDERO</t>
  </si>
  <si>
    <t>ES0031601067710001LM0F</t>
  </si>
  <si>
    <t>ALZADOS GUANCHES 40, POLIDEPORTVO, LOC, LOS COMINOS, PINOLERIS</t>
  </si>
  <si>
    <t>ES0031601069645001SS0F</t>
  </si>
  <si>
    <t>EL CONDE TREVIÑO 21 B, DPC. MCPAL, LOC, OFICINA</t>
  </si>
  <si>
    <t>ES0031601077003001KQ0F</t>
  </si>
  <si>
    <t>CN CAÑEÑO 108 B, CTRO CULTURA, LOC, SOCIAL, AGUAMANSA</t>
  </si>
  <si>
    <t>ES0031601080664001NZ0F</t>
  </si>
  <si>
    <t>AV DE LA COMUNIDAD IBEROAMERICANA 0, FUENTE, MOT</t>
  </si>
  <si>
    <t>ES0031601112639001HT0F</t>
  </si>
  <si>
    <t>CR TF-217 0, APARCAMIENTO, LAS CUEVAS</t>
  </si>
  <si>
    <t>ES0031601129200001TB0F</t>
  </si>
  <si>
    <t>EL ROSARIO 7, LUDOTECA, LA PERDOMA</t>
  </si>
  <si>
    <t>ES0031601135250001SE0F</t>
  </si>
  <si>
    <t>DOMINGO DOMINGUEZ LUIS 5, TORRITA,55V, ESC.6, LOC-BJO, SOCIAL</t>
  </si>
  <si>
    <t>ES0031601165240010JD0F</t>
  </si>
  <si>
    <t>LA REINA 0, SN-AYUNTAM, OFICINA</t>
  </si>
  <si>
    <t>ES0031601165838001TT0F</t>
  </si>
  <si>
    <t>VIERA 2, CASA MESA</t>
  </si>
  <si>
    <t>ES0031601177813001RG0F</t>
  </si>
  <si>
    <t>DOMINGO HERNANDEZ GONZALEZ 0, IGLESIA</t>
  </si>
  <si>
    <t>ES0031601190788001XZ0F</t>
  </si>
  <si>
    <t>JUPITER 23, PORTAL C, ESC.P.C, LOC-BJO, LOCAL SOCIAL</t>
  </si>
  <si>
    <t>ES0031601257252003YL0F</t>
  </si>
  <si>
    <t>CN POLO 0, USOS MULTIPL</t>
  </si>
  <si>
    <t>ES0031601267970001AV0F</t>
  </si>
  <si>
    <t>PZ LA CANDELARIA 0, PLZ. ESCENAR, CUARTO SERVI</t>
  </si>
  <si>
    <t>ES0031601272409001XV0F</t>
  </si>
  <si>
    <t>CR TF-322 22, LA LUZ</t>
  </si>
  <si>
    <t>ES0031601285712001KR0F</t>
  </si>
  <si>
    <t>SEGUNDO MORALES LABRADOR 1, PLAZA, ALUMB.PUBLIC, CHASNA</t>
  </si>
  <si>
    <t>ES0031607299698001BM0F</t>
  </si>
  <si>
    <t>CN GUANCHE 0, EN LA PLAZA, ASOCIAC.CULT, LA FLORIDA</t>
  </si>
  <si>
    <t>ES0031607300933001RC0F</t>
  </si>
  <si>
    <t>FLORIDA 0, GPO ESCOLAR, UNICO, LA FLORIDA</t>
  </si>
  <si>
    <t>ES0031607300936001VF0F</t>
  </si>
  <si>
    <t>CR TF-322 38, AS.COLOMBOF., LA LUZ</t>
  </si>
  <si>
    <t>ES0031607301198001TZ0F</t>
  </si>
  <si>
    <t>CN LA ARBEJA 191, ASOC.VECINOS, LUZ</t>
  </si>
  <si>
    <t>ES0031607301200001HJ0F</t>
  </si>
  <si>
    <t>SAN JUAN 34</t>
  </si>
  <si>
    <t>ES0031607301786005JT0F</t>
  </si>
  <si>
    <t>SAN SEBASTIAN 1, ARCHIVO, MUNICIPAL</t>
  </si>
  <si>
    <t>ES0031607302877002KS0F</t>
  </si>
  <si>
    <t>HERMANO APOLINAR 37, LOC, OFIC TECNICA</t>
  </si>
  <si>
    <t>ES0031607305277003HN0F</t>
  </si>
  <si>
    <t>GOYA 0, CANDEL.LOMO, COLEGIO</t>
  </si>
  <si>
    <t>ES0031607305394001ED0F</t>
  </si>
  <si>
    <t>SAN AGUSTIN 0, OFI.CONSORCI, AYUNTAMIENTO</t>
  </si>
  <si>
    <t>ES0031607305445001PH0F</t>
  </si>
  <si>
    <t>SAN FRANCISCO 0, SECTOR S.FCO, JTO. A E.T</t>
  </si>
  <si>
    <t>ES0031607305447001AV0F</t>
  </si>
  <si>
    <t>LEON 19, SERV. SOCIAL, AYUNTAMIENTO</t>
  </si>
  <si>
    <t>ES0031607305449001KQ0F</t>
  </si>
  <si>
    <t>COLOGAN 0, PLAZA, CASAÑAS</t>
  </si>
  <si>
    <t>ES0031607305452001ZA0F</t>
  </si>
  <si>
    <t>MAGISTRADO BARREDA 0, L.CONCEPCION, ESCUELAS</t>
  </si>
  <si>
    <t>ES0031607305454001DW0F</t>
  </si>
  <si>
    <t>SAN ANDRES-LA OROTAVA 0, DEPEND.A.E.A, CSA-3, DEHESA ALTA</t>
  </si>
  <si>
    <t>ES0031607305455001YJ0F</t>
  </si>
  <si>
    <t>EL ROSARIO 32, BAZAR, LA PERDOMA</t>
  </si>
  <si>
    <t>ES0031607306165002XG0F</t>
  </si>
  <si>
    <t>EL ROSARIO 20, CGIO.MUNICIP, LA PERDOMA</t>
  </si>
  <si>
    <t>ES0031607306171002HR0F</t>
  </si>
  <si>
    <t>LA MONTAÑETA 3, C. SALUD, LA PERDOMA</t>
  </si>
  <si>
    <t>ES0031607306216001LN0F</t>
  </si>
  <si>
    <t>EL ROSARIO 0, EL ROSARIO, COLEGIO</t>
  </si>
  <si>
    <t>ES0031607306695001FZ0F</t>
  </si>
  <si>
    <t>EL ROSARIO 0, EL ROSARIO, COLEGIO P., LA PERDOMA</t>
  </si>
  <si>
    <t>ES0031607306695002FS0F</t>
  </si>
  <si>
    <t>GERMINAL 0, COLEGIO, COLEGIO, PINOLERIS</t>
  </si>
  <si>
    <t>ES0031607306994001NZ0F</t>
  </si>
  <si>
    <t>GERMINAL 0, EXTERIOR, LOC, SOCIAL, PINOLERIS</t>
  </si>
  <si>
    <t>ES0031607306995001XW0F</t>
  </si>
  <si>
    <t>PG INDUSTRIAL SAN JERONIMO 3, VIVERO MCP, SAN JERONIMO</t>
  </si>
  <si>
    <t>ES0031607307028001HC0F</t>
  </si>
  <si>
    <t>BO SAN ANTONIO 0, PZ.MILAGROSA, CENTRO SALUD, SAN ANTONIO</t>
  </si>
  <si>
    <t>ES0031607519528001AF0F</t>
  </si>
  <si>
    <t>BO SAN ANTONIO 0, PZ.MILAGROSA, LOC, OFICINA ALTA, SAN ANTONIO</t>
  </si>
  <si>
    <t>ES0031607519528002AP0F</t>
  </si>
  <si>
    <t>BO SAN ANTONIO 0, PZ.MILAGROSA, LOC, OFICINA BAJA, SAN ANTONIO</t>
  </si>
  <si>
    <t>ES0031607519528003AD0F</t>
  </si>
  <si>
    <t>OBISPO PEREZ CACERES 8, CINE-A., LA PERDOMA</t>
  </si>
  <si>
    <t>ES0031607526156001XM0F</t>
  </si>
  <si>
    <t>OBISPO PEREZ CACERES 8, CINE-F. M., LA PERDOMA</t>
  </si>
  <si>
    <t>ES0031607526156002XY0F</t>
  </si>
  <si>
    <t>FLORIDA 0, COLEGIO EGB, UNICO 2, LA FLORIDA</t>
  </si>
  <si>
    <t>ES0031607532440002XS0F</t>
  </si>
  <si>
    <t>LG LA MARZAGANA 0, HIGA, LOCAL, LA PERDOMA</t>
  </si>
  <si>
    <t>ES0031607588774001KE0F</t>
  </si>
  <si>
    <t>CN EL VELO (AGUAMANSA) 69, COLEGIO ANT., COLEGIO, AGUAMANSA</t>
  </si>
  <si>
    <t>ES0031607299691001MC0F</t>
  </si>
  <si>
    <t>CN EL VELO (AGUAMANSA) 71, OFICINA-1, AGUAMANSA</t>
  </si>
  <si>
    <t>ES0031607299693001TL0F</t>
  </si>
  <si>
    <t>PZ IGLESIA 0, LOCAL MUSICA, LOC, AYUNTAMIENTO, AGUAMANSA</t>
  </si>
  <si>
    <t>ES0031607299696001QY0F</t>
  </si>
  <si>
    <t>LA IGLESIA 0, SN N, BENIJOS</t>
  </si>
  <si>
    <t>ES0031607606202001AW0F</t>
  </si>
  <si>
    <t>AV OBISPO BENITEZ DE LUGO 0, FUENTE, MOT, S.JUAN BOSCO</t>
  </si>
  <si>
    <t>ES0031601067995001JN0F</t>
  </si>
  <si>
    <t>CN EL BOLLULLO 0, ASOC.VECINOS, EL RINCON</t>
  </si>
  <si>
    <t>ES0031607305428001MS0F</t>
  </si>
  <si>
    <t>PS LAS ARAUCARIAS 0, QUIQUIRA, CAMPO-FUTBOL</t>
  </si>
  <si>
    <t>ES0031607305433001QR0F</t>
  </si>
  <si>
    <t>PZ DE LA CONSTITUCION 0, CONSERV.MUSI, UNICO</t>
  </si>
  <si>
    <t>ES0031607305446001YY0F</t>
  </si>
  <si>
    <t>TOMAS PEREZ 0, BIBLIOTECA, BIBLIOTECA</t>
  </si>
  <si>
    <t>ES0031607305450001LG0F</t>
  </si>
  <si>
    <t>RISCO CAIDO 5, ASOC VECINOS, ASOC. VECINO</t>
  </si>
  <si>
    <t>ES0031607603877001RA0F</t>
  </si>
  <si>
    <t>EL CALVARIO (LA OROTAVA) 17, UNICO</t>
  </si>
  <si>
    <t>ES0031607304231001BG0F</t>
  </si>
  <si>
    <t>LG BARROSO 0, S.HING.RURAL, AYUNTAMIENTO, LOS FRONTONES</t>
  </si>
  <si>
    <t>ES0031607305392001GX0F</t>
  </si>
  <si>
    <t>BO SAN ANTONIO 0, 6 BDA.ANTONI, COLEGIO MIXT, SAN ANTONIO</t>
  </si>
  <si>
    <t>ES0031607305408001XW0F</t>
  </si>
  <si>
    <t>BO SAN ANTONIO 0, SAN ANTONIO, CGIO.EGB 24U, SAN ANTONIO</t>
  </si>
  <si>
    <t>ES0031607305409001FJ0F</t>
  </si>
  <si>
    <t>BO SAN ANTONIO 1 BIS, VELATORIO, SAN ANTONIO</t>
  </si>
  <si>
    <t>ES0031607386429001MY0F</t>
  </si>
  <si>
    <t>LA PALMA 3, IGLESIA, LA FLORIDA</t>
  </si>
  <si>
    <t>ES0031607480337004RK0F</t>
  </si>
  <si>
    <t>CR TF-326 97, COLEGIO EGB, BENIJOS</t>
  </si>
  <si>
    <t>ES0031607300119001FJ0F</t>
  </si>
  <si>
    <t>CR TF-326 0, LOCAL 2, BENIJOS</t>
  </si>
  <si>
    <t>ES0031607608478001JZ0F</t>
  </si>
  <si>
    <t>CR TF-21 0, JTO IGLESIA, AGUAMANSA</t>
  </si>
  <si>
    <t>ES0031601013710001XA0F</t>
  </si>
  <si>
    <t>MAGISTRADO BARREDA 11</t>
  </si>
  <si>
    <t>ES0031601320812001NT0F</t>
  </si>
  <si>
    <t>DOCTOR SIXTO PERERA GONZALEZ 8, AYTO</t>
  </si>
  <si>
    <t>ES0031607301327042EW0F</t>
  </si>
  <si>
    <t>MANUEL RAMOS 0, CENTRALIZA A, ESC.4, DEHESA ALTA</t>
  </si>
  <si>
    <t>ES0031601122102002ML0F</t>
  </si>
  <si>
    <t>Coste energético febrero de 2016</t>
  </si>
  <si>
    <t>Consumo energético febrero de 2016</t>
  </si>
  <si>
    <t>Coste energético marzo de 2016</t>
  </si>
  <si>
    <t>Consumo energético marzo de 2016</t>
  </si>
  <si>
    <t>Coste energético abril de 2016</t>
  </si>
  <si>
    <t>Consumo energético abril de 2016</t>
  </si>
  <si>
    <t>Coste energético mayo de 2016</t>
  </si>
  <si>
    <t>Consumo energético mayo de 2016</t>
  </si>
  <si>
    <t>Coste energético junio de 2016</t>
  </si>
  <si>
    <t>Consumo energético junio de 2016</t>
  </si>
  <si>
    <t>NOMBRE ACTUALIZADO DEL SUMINISTRO</t>
  </si>
  <si>
    <t>CASA PARTIC.</t>
  </si>
  <si>
    <t xml:space="preserve">CRUZ ROJA, C/ GOYA Nº5 </t>
  </si>
  <si>
    <t>COLEGIO E.G.B. LA CONCEPCIÓN, C/ MAGISTRADO BARREDA Nº2</t>
  </si>
  <si>
    <t>ANTIGUO COLEGIO PINO ALTO (VIVIENDA SOCIAL)</t>
  </si>
  <si>
    <t>ESCUELA DE PINOLERE Y CENTRO DE LA 3ª EDAD, C/GERMINAL</t>
  </si>
  <si>
    <t xml:space="preserve">COLEGIO LEONCIO ESTÉVEZ </t>
  </si>
  <si>
    <t>COLEGIO LEONCIO ESTÉVEZ, C/ LA PALMA Nº1 (LA FLORIDA)</t>
  </si>
  <si>
    <t>COLEGIO RAMÓN Y CAJAL, C/ GARABOTO</t>
  </si>
  <si>
    <t>CENTRO E.G.B. Y PARVULARIO STA. TERESA DE JESÚS, C/ LA MONTAÑETA</t>
  </si>
  <si>
    <t>CENTRO E.G.B. LA LUZ, CMNO. LA LUZ</t>
  </si>
  <si>
    <t>CENTRO E.G.B. MANUEL DE FALLA, BARROSO</t>
  </si>
  <si>
    <t xml:space="preserve">CENTRO E.G.B. INFANTA ELENA, C/ COLEGIO INFANTA ELENA </t>
  </si>
  <si>
    <t>MÓDULO DE LA LUZ (TUTORÍA DE JÓVENES), C/ LA ARBEJA Nº189</t>
  </si>
  <si>
    <t>CENTRO E.G.B. DOMÍNGUEZ ALFONSO, C/ MESA BENÍTEZ DE LUGO</t>
  </si>
  <si>
    <t>CENTRO E.G.B. SANTO TOMÁS DE AQUINO, CTRA. GRAL. LAS CAÑADAS</t>
  </si>
  <si>
    <t>CENTRO E.G.B. DE AGUAMANSA</t>
  </si>
  <si>
    <t>NO COINCIDE, GUARA FARIÑA</t>
  </si>
  <si>
    <t>CENTRO CÍVICO Y U.T.S. BARROSO, CTRA. C-821 LA OROTAVA</t>
  </si>
  <si>
    <t>U.T.S. SAN ANTONIO, BAJO PLAZA LA MILAGROSA S/N</t>
  </si>
  <si>
    <t>CENTRO DE SS.SS., OMIC Y U.TS. EL CASCO, C/ LEÓN Nº19</t>
  </si>
  <si>
    <t>CENTRO CÍVICO - BIBLIOTECA LA PERDOMA, C/ LA MONTAÑETA Nº3</t>
  </si>
  <si>
    <t xml:space="preserve">JARDÍN VICTORIA </t>
  </si>
  <si>
    <t>POLICÍA LOCAL, C/ COLOGÁN Nº2</t>
  </si>
  <si>
    <t>CENTRO DE LA 3ª EDAD, C/ SAN AGUSTÍN Nº9</t>
  </si>
  <si>
    <t>OFICINA TÉCNICA Y CANARAGUA, C/ HNOS. APOLINAR Nº37</t>
  </si>
  <si>
    <t>CENTRO CÍVICO Y POLIDEPORTIVO CAÑEÑO, CMNO. CAÑEÑO-BEBEDERO</t>
  </si>
  <si>
    <t>U.T.S. LA TORRITA, C/ DOMINGO DOMÍNGUEZ LUIS</t>
  </si>
  <si>
    <t>C.C.C. HUERTA DEL MORAL-LOS CUARTOS Y S. ANDRÉS, AV. MERCEDES PINTO DE ARMAS</t>
  </si>
  <si>
    <t xml:space="preserve">CENTRO CÍVICO LA PIEDAD - SANTA CATALINA, PLAZA CRUZ VERDE </t>
  </si>
  <si>
    <t>SALA TEOWALDO POWER Y OFICINA DE TURISMO, C/ CALVARIO Nº1</t>
  </si>
  <si>
    <t>CENTRO DE USOS MÚLTIPLES BENIJOS</t>
  </si>
  <si>
    <t xml:space="preserve">CASA DOÑA CHANA, C/ MIGUEL DE CERVANTES </t>
  </si>
  <si>
    <t>MUSEO DE LAS ALFOMBRAS, C/ SAN FRANCISCO Nº5</t>
  </si>
  <si>
    <t>CENTRO CÍVICO SOCIAL Y U.T.S. LA VERA, C/ EL CARDÓN Nº1</t>
  </si>
  <si>
    <t xml:space="preserve">CAMPO DE FÚTBOL QUIQUIRÁ, PASEO DE LAS ARAUCARIAS </t>
  </si>
  <si>
    <t>TANATORIO LA FLORIDA, PLAZA DE LA FLORIDA</t>
  </si>
  <si>
    <t>POLIDEPORTIVO LOS PINOS, C/ FRANCISCO PADRÓN PÉREZ</t>
  </si>
  <si>
    <t>NO COINCIDE, POLIDEPORTIVO PINOLERE</t>
  </si>
  <si>
    <t>CAMPO DE FÚTBOL LA FLORIDA, CMNO. LOS GÓMEZ</t>
  </si>
  <si>
    <t>ESTADIO MUNICIPAL EL MAYORAZGO, C/ CRISTÓBAL DE FRANCHY</t>
  </si>
  <si>
    <t>CAMPO DE FÚTBOL DE LA ARBEJA, CMNO. LA ARBEJA, Nº130</t>
  </si>
  <si>
    <t>CAMPO DE FÚTBOL DE LOS CUARTOS, C/ URANO</t>
  </si>
  <si>
    <t>PABELLÓN MUNICIPAL LA PERDOMA, C/ LA MONTAÑETA</t>
  </si>
  <si>
    <t>PABELLÓN POLIDEPORTIVO QUIQUIRÁ, PASEO DE LAS ARAUCARIAS</t>
  </si>
  <si>
    <t>POLIDEPORTIVO CANDELARIA DEL LOMO, C/ SOR JOSEFA DE SACRAMENTO</t>
  </si>
  <si>
    <t>POLIDEPORTIVO CHASNA, CTRA. CUESTA LA VILLA</t>
  </si>
  <si>
    <t>PABELLÓN MANUEL DE FALLA, CMNO. FIESCO</t>
  </si>
  <si>
    <t>CENTRO CÍVICO Y U.T.S. DE LA FLORIDA, CMNO. GUANCHE Nº 45</t>
  </si>
  <si>
    <t>CENTRO CÍVICO Y TANATORIO LA LUZ, C/ LA ARBEJA Nº191</t>
  </si>
  <si>
    <t>CASA LA CULTURA RÓMULO BET.</t>
  </si>
  <si>
    <t xml:space="preserve">ARCHIVO MUNICIPAL </t>
  </si>
  <si>
    <t>FUNDACIÓN CANARIA DE HISTORIA DE LA CIENCIA, C/ CALVARIO Nº 17</t>
  </si>
  <si>
    <t>AA. VV. UNIÓN VISTA DEL TEIDE, RINCÓN</t>
  </si>
  <si>
    <t>CONSORCIO TRIBUTOS, C/ SAN AGUSTÍN Nº3</t>
  </si>
  <si>
    <t>CASA DE LA CULTURA SAN AGUSTÍN, C/ SAN AGUSTÍN (ANTIGUO CUARTEL)</t>
  </si>
  <si>
    <t>LOCALES PLAZA CASAÑAS (BAJO)</t>
  </si>
  <si>
    <t>NO HAY CONTADOR (ANT. AEA CISAN ANDRÉS)</t>
  </si>
  <si>
    <t>TANATORIO LA PERDOMA, PLAZA DE LA PERDOMA</t>
  </si>
  <si>
    <t>VIVERO CESPA</t>
  </si>
  <si>
    <t>TANATORIO SAN ANTONIO, PLAZA DE SAN ANTONIO</t>
  </si>
  <si>
    <t>CINE DE LA PERDOMA, C/ OBISPO PÉREZ CÁCERES Nº8</t>
  </si>
  <si>
    <t>CINE LA PERDOMA</t>
  </si>
  <si>
    <t>ASOC. CULTURAL HIGA</t>
  </si>
  <si>
    <t xml:space="preserve">AA. VV. EL VELO, AGUAMANSA </t>
  </si>
  <si>
    <t>CENTRO CÍVICO SOCIAL PASEO DE LAS DEHESAS, C/ RISCO CAÍDO Nº5</t>
  </si>
  <si>
    <t>TANATORIO BENIJOS, PLAZA NÉLIDA SARMIENTO</t>
  </si>
  <si>
    <t>LOCAL AL LADO TANATORIO BENIJO</t>
  </si>
  <si>
    <t>CENTRO CÍVICO SOCIAL LOS PINOS, C/ FRANCISCO PADRÓN PÉREZ Nº5</t>
  </si>
  <si>
    <t>CENTRO DE LA 3ª EDAD SAN ANTONIO, BARRIADA DE SAN ANTONIO</t>
  </si>
  <si>
    <t>CENTRO TRABAJO SOCIAL</t>
  </si>
  <si>
    <t>CEMENTERIO MUNICIPAL, C/ SAN FRANCISCO Nº6</t>
  </si>
  <si>
    <t>FUENTE OBISPO BENÍTEZ DE LUGO</t>
  </si>
  <si>
    <t xml:space="preserve">TANATORIO BARROSO, PLAZA DE LA IGLESIA </t>
  </si>
  <si>
    <t>SERVICIO DE DÍA</t>
  </si>
  <si>
    <t>CENTRO CÍVICO CRUZ DEL TEIDE, C/ LA REINA Nº26</t>
  </si>
  <si>
    <t>TANATORIO EL CASCO (LA OROTAVA), C/ VIERA Nº2</t>
  </si>
  <si>
    <t>CENTRO CÍVICO SOCIAL CANDELARIA DEL LOMO, PLAZA DEL MENCEY BENCOMO</t>
  </si>
  <si>
    <t>NO COINCIDE Nº</t>
  </si>
  <si>
    <t>HACIENDA DE FRANCHY, JUNTO 16, LA LUZ</t>
  </si>
  <si>
    <t>JUVENTUD, C/ LEÓN Nº9</t>
  </si>
  <si>
    <t>EDIFICIO DEL AYUNTAMIENTO, PLAZA DEL AYUNTAMIENTO S/N</t>
  </si>
  <si>
    <t>USOS MÚLTIPLES LA TORRITA, C/ EDUCADORA LUCÍA MESA</t>
  </si>
  <si>
    <t>NO COINCIDE Nº CONTADOR (COLEGIO)</t>
  </si>
  <si>
    <t>COLEGIO SAN AGUSTÍN</t>
  </si>
  <si>
    <t>CASA RECOGIDA PALOMAS LA LUZ, 38</t>
  </si>
  <si>
    <t>HUERTO OCUPACIONAL CAMINO DE CHASNA, CTRA. TF-21</t>
  </si>
  <si>
    <t xml:space="preserve">LOCAL SOCIAL </t>
  </si>
  <si>
    <t>BIBLIOTECA MUNICIPAL, C/ TOMÁS Nº3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</si>
</sst>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a&quot;"/>
    <numFmt numFmtId="173" formatCode="[$-C0A]dddd\,\ dd&quot; de &quot;mmmm&quot; de &quot;yyyy"/>
    <numFmt numFmtId="174" formatCode="#,##0.00\ &quot;€&quot;"/>
    <numFmt numFmtId="175" formatCode="#,##0.000"/>
    <numFmt numFmtId="176" formatCode="0;[Red]0"/>
    <numFmt numFmtId="177" formatCode="#,##0.0000\ &quot;€&quot;"/>
    <numFmt numFmtId="178" formatCode="#,##0.0000"/>
    <numFmt numFmtId="179" formatCode="#,##0.0"/>
    <numFmt numFmtId="180" formatCode="0.0"/>
  </numFmts>
  <fonts count="55">
    <font>
      <sz val="10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i/>
      <u val="single"/>
      <sz val="16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ahoma"/>
      <family val="2"/>
    </font>
    <font>
      <sz val="9"/>
      <name val="Tahoma"/>
      <family val="2"/>
    </font>
    <font>
      <sz val="14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35" borderId="21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/>
    </xf>
    <xf numFmtId="4" fontId="2" fillId="33" borderId="2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" fontId="3" fillId="33" borderId="24" xfId="0" applyNumberFormat="1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center" vertical="center"/>
    </xf>
    <xf numFmtId="0" fontId="15" fillId="0" borderId="13" xfId="0" applyFont="1" applyBorder="1" applyAlignment="1" applyProtection="1">
      <alignment vertical="center"/>
      <protection/>
    </xf>
    <xf numFmtId="0" fontId="15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left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left" vertical="center"/>
    </xf>
    <xf numFmtId="1" fontId="2" fillId="33" borderId="11" xfId="0" applyNumberFormat="1" applyFont="1" applyFill="1" applyBorder="1" applyAlignment="1">
      <alignment horizontal="center" vertical="center"/>
    </xf>
    <xf numFmtId="1" fontId="5" fillId="35" borderId="21" xfId="0" applyNumberFormat="1" applyFon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" fontId="5" fillId="35" borderId="22" xfId="0" applyNumberFormat="1" applyFont="1" applyFill="1" applyBorder="1" applyAlignment="1">
      <alignment horizontal="center" vertical="center"/>
    </xf>
    <xf numFmtId="1" fontId="2" fillId="33" borderId="15" xfId="0" applyNumberFormat="1" applyFont="1" applyFill="1" applyBorder="1" applyAlignment="1">
      <alignment horizontal="center" vertical="center"/>
    </xf>
    <xf numFmtId="1" fontId="2" fillId="33" borderId="18" xfId="0" applyNumberFormat="1" applyFont="1" applyFill="1" applyBorder="1" applyAlignment="1">
      <alignment horizontal="left" vertical="center"/>
    </xf>
    <xf numFmtId="1" fontId="4" fillId="36" borderId="0" xfId="0" applyNumberFormat="1" applyFont="1" applyFill="1" applyAlignment="1">
      <alignment horizontal="center" vertical="center"/>
    </xf>
    <xf numFmtId="1" fontId="4" fillId="34" borderId="0" xfId="0" applyNumberFormat="1" applyFont="1" applyFill="1" applyAlignment="1">
      <alignment horizontal="center" vertical="center"/>
    </xf>
    <xf numFmtId="3" fontId="2" fillId="33" borderId="23" xfId="0" applyNumberFormat="1" applyFont="1" applyFill="1" applyBorder="1" applyAlignment="1">
      <alignment horizontal="center" vertical="center"/>
    </xf>
    <xf numFmtId="3" fontId="13" fillId="33" borderId="24" xfId="0" applyNumberFormat="1" applyFont="1" applyFill="1" applyBorder="1" applyAlignment="1">
      <alignment horizontal="center" vertical="center"/>
    </xf>
    <xf numFmtId="16" fontId="4" fillId="0" borderId="0" xfId="0" applyNumberFormat="1" applyFont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1" fontId="2" fillId="33" borderId="27" xfId="0" applyNumberFormat="1" applyFont="1" applyFill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2" fillId="33" borderId="30" xfId="0" applyNumberFormat="1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3" fontId="5" fillId="38" borderId="13" xfId="0" applyNumberFormat="1" applyFont="1" applyFill="1" applyBorder="1" applyAlignment="1">
      <alignment horizontal="center" vertical="center"/>
    </xf>
    <xf numFmtId="3" fontId="5" fillId="38" borderId="28" xfId="0" applyNumberFormat="1" applyFont="1" applyFill="1" applyBorder="1" applyAlignment="1">
      <alignment horizontal="center" vertical="center"/>
    </xf>
    <xf numFmtId="3" fontId="5" fillId="38" borderId="14" xfId="0" applyNumberFormat="1" applyFont="1" applyFill="1" applyBorder="1" applyAlignment="1">
      <alignment horizontal="center" vertical="center"/>
    </xf>
    <xf numFmtId="4" fontId="5" fillId="38" borderId="13" xfId="0" applyNumberFormat="1" applyFont="1" applyFill="1" applyBorder="1" applyAlignment="1">
      <alignment horizontal="center" vertical="center"/>
    </xf>
    <xf numFmtId="4" fontId="5" fillId="38" borderId="14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179" fontId="5" fillId="0" borderId="13" xfId="0" applyNumberFormat="1" applyFont="1" applyBorder="1" applyAlignment="1">
      <alignment horizontal="center" vertical="center"/>
    </xf>
    <xf numFmtId="175" fontId="5" fillId="0" borderId="13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180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0" fontId="5" fillId="39" borderId="17" xfId="0" applyFont="1" applyFill="1" applyBorder="1" applyAlignment="1">
      <alignment horizontal="left" vertical="center"/>
    </xf>
    <xf numFmtId="0" fontId="5" fillId="39" borderId="13" xfId="0" applyFont="1" applyFill="1" applyBorder="1" applyAlignment="1">
      <alignment horizontal="left" vertical="center"/>
    </xf>
    <xf numFmtId="0" fontId="5" fillId="39" borderId="19" xfId="0" applyFont="1" applyFill="1" applyBorder="1" applyAlignment="1">
      <alignment horizontal="left" vertical="center"/>
    </xf>
    <xf numFmtId="4" fontId="8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I131"/>
  <sheetViews>
    <sheetView zoomScale="75" zoomScaleNormal="75" zoomScalePageLayoutView="0" workbookViewId="0" topLeftCell="C118">
      <selection activeCell="B62" sqref="B62"/>
    </sheetView>
  </sheetViews>
  <sheetFormatPr defaultColWidth="11.421875" defaultRowHeight="12.75"/>
  <cols>
    <col min="1" max="1" width="11.140625" style="1" customWidth="1"/>
    <col min="2" max="2" width="85.57421875" style="21" customWidth="1"/>
    <col min="3" max="3" width="102.7109375" style="21" customWidth="1"/>
    <col min="4" max="4" width="19.8515625" style="1" customWidth="1"/>
    <col min="5" max="5" width="32.57421875" style="1" customWidth="1"/>
    <col min="6" max="6" width="21.00390625" style="2" customWidth="1"/>
    <col min="7" max="7" width="18.421875" style="2" customWidth="1"/>
    <col min="8" max="8" width="17.00390625" style="2" customWidth="1"/>
    <col min="9" max="9" width="18.28125" style="2" bestFit="1" customWidth="1"/>
    <col min="10" max="10" width="11.421875" style="1" customWidth="1"/>
    <col min="11" max="11" width="11.57421875" style="1" bestFit="1" customWidth="1"/>
    <col min="12" max="16384" width="11.421875" style="1" customWidth="1"/>
  </cols>
  <sheetData>
    <row r="1" ht="15.75" customHeight="1"/>
    <row r="2" spans="7:9" ht="42.75" customHeight="1">
      <c r="G2" s="96" t="s">
        <v>9</v>
      </c>
      <c r="H2" s="96"/>
      <c r="I2" s="96"/>
    </row>
    <row r="3" spans="8:9" ht="15" customHeight="1">
      <c r="H3" s="97"/>
      <c r="I3" s="97"/>
    </row>
    <row r="4" spans="7:9" ht="21.75" customHeight="1">
      <c r="G4" s="98" t="s">
        <v>10</v>
      </c>
      <c r="H4" s="98"/>
      <c r="I4" s="98"/>
    </row>
    <row r="5" ht="15.75" customHeight="1"/>
    <row r="6" spans="1:8" ht="9" customHeight="1" thickBot="1">
      <c r="A6" s="3"/>
      <c r="B6" s="22"/>
      <c r="C6" s="22"/>
      <c r="D6" s="3"/>
      <c r="E6" s="3"/>
      <c r="F6" s="4"/>
      <c r="G6" s="4"/>
      <c r="H6" s="4"/>
    </row>
    <row r="7" spans="1:9" ht="21" customHeight="1" thickTop="1">
      <c r="A7" s="5" t="s">
        <v>1</v>
      </c>
      <c r="B7" s="23" t="s">
        <v>3</v>
      </c>
      <c r="C7" s="23" t="s">
        <v>285</v>
      </c>
      <c r="D7" s="11" t="s">
        <v>2</v>
      </c>
      <c r="E7" s="16" t="s">
        <v>11</v>
      </c>
      <c r="F7" s="6" t="s">
        <v>6</v>
      </c>
      <c r="G7" s="6" t="s">
        <v>7</v>
      </c>
      <c r="H7" s="6" t="s">
        <v>8</v>
      </c>
      <c r="I7" s="7" t="s">
        <v>0</v>
      </c>
    </row>
    <row r="8" spans="1:9" ht="21" customHeight="1">
      <c r="A8" s="27"/>
      <c r="B8" s="72" t="s">
        <v>15</v>
      </c>
      <c r="C8" s="72" t="s">
        <v>316</v>
      </c>
      <c r="D8" s="12">
        <v>83006884161</v>
      </c>
      <c r="E8" s="30" t="s">
        <v>16</v>
      </c>
      <c r="F8" s="8">
        <v>280.72</v>
      </c>
      <c r="G8" s="8">
        <v>8.38</v>
      </c>
      <c r="H8" s="8">
        <v>0.1</v>
      </c>
      <c r="I8" s="9">
        <f aca="true" t="shared" si="0" ref="I8:I60">SUM(F8:H8)</f>
        <v>289.20000000000005</v>
      </c>
    </row>
    <row r="9" spans="1:9" ht="21" customHeight="1">
      <c r="A9" s="27"/>
      <c r="B9" s="26" t="s">
        <v>17</v>
      </c>
      <c r="C9" s="26" t="s">
        <v>314</v>
      </c>
      <c r="D9" s="12">
        <v>83001699293</v>
      </c>
      <c r="E9" s="30" t="s">
        <v>19</v>
      </c>
      <c r="F9" s="8">
        <v>250.575</v>
      </c>
      <c r="G9" s="8">
        <v>7.35</v>
      </c>
      <c r="H9" s="8">
        <v>0.385</v>
      </c>
      <c r="I9" s="9">
        <f t="shared" si="0"/>
        <v>258.31</v>
      </c>
    </row>
    <row r="10" spans="1:9" ht="21" customHeight="1">
      <c r="A10" s="27"/>
      <c r="B10" s="26" t="s">
        <v>18</v>
      </c>
      <c r="C10" s="26" t="s">
        <v>324</v>
      </c>
      <c r="D10" s="12">
        <v>83002793469</v>
      </c>
      <c r="E10" s="30" t="s">
        <v>20</v>
      </c>
      <c r="F10" s="8"/>
      <c r="G10" s="8"/>
      <c r="H10" s="8"/>
      <c r="I10" s="9">
        <f t="shared" si="0"/>
        <v>0</v>
      </c>
    </row>
    <row r="11" spans="1:9" ht="21" customHeight="1">
      <c r="A11" s="27"/>
      <c r="B11" s="26" t="s">
        <v>21</v>
      </c>
      <c r="C11" s="26" t="s">
        <v>365</v>
      </c>
      <c r="D11" s="12">
        <v>83005319585</v>
      </c>
      <c r="E11" s="30" t="s">
        <v>22</v>
      </c>
      <c r="F11" s="8"/>
      <c r="G11" s="8"/>
      <c r="H11" s="8"/>
      <c r="I11" s="9">
        <f t="shared" si="0"/>
        <v>0</v>
      </c>
    </row>
    <row r="12" spans="1:9" ht="21" customHeight="1">
      <c r="A12" s="27"/>
      <c r="B12" s="26" t="s">
        <v>23</v>
      </c>
      <c r="C12" s="26" t="s">
        <v>325</v>
      </c>
      <c r="D12" s="61">
        <v>999395654431</v>
      </c>
      <c r="E12" s="30" t="s">
        <v>24</v>
      </c>
      <c r="F12" s="8"/>
      <c r="G12" s="8"/>
      <c r="H12" s="8"/>
      <c r="I12" s="9">
        <f t="shared" si="0"/>
        <v>0</v>
      </c>
    </row>
    <row r="13" spans="1:9" ht="21" customHeight="1">
      <c r="A13" s="27"/>
      <c r="B13" s="26" t="s">
        <v>25</v>
      </c>
      <c r="C13" s="26" t="s">
        <v>315</v>
      </c>
      <c r="D13" s="61">
        <v>999395655454</v>
      </c>
      <c r="E13" s="30" t="s">
        <v>26</v>
      </c>
      <c r="F13" s="8"/>
      <c r="G13" s="8"/>
      <c r="H13" s="8"/>
      <c r="I13" s="9">
        <f t="shared" si="0"/>
        <v>0</v>
      </c>
    </row>
    <row r="14" spans="1:9" ht="21" customHeight="1">
      <c r="A14" s="27"/>
      <c r="B14" s="26" t="s">
        <v>27</v>
      </c>
      <c r="C14" s="26" t="s">
        <v>326</v>
      </c>
      <c r="D14" s="61">
        <v>512012286</v>
      </c>
      <c r="E14" s="30" t="s">
        <v>28</v>
      </c>
      <c r="F14" s="8"/>
      <c r="G14" s="8"/>
      <c r="H14" s="8"/>
      <c r="I14" s="9">
        <f t="shared" si="0"/>
        <v>0</v>
      </c>
    </row>
    <row r="15" spans="1:9" ht="21" customHeight="1">
      <c r="A15" s="27"/>
      <c r="B15" s="26" t="s">
        <v>29</v>
      </c>
      <c r="C15" s="26" t="s">
        <v>327</v>
      </c>
      <c r="D15" s="61">
        <v>999395659634</v>
      </c>
      <c r="E15" s="30" t="s">
        <v>30</v>
      </c>
      <c r="F15" s="8"/>
      <c r="G15" s="8"/>
      <c r="H15" s="8"/>
      <c r="I15" s="9">
        <f t="shared" si="0"/>
        <v>0</v>
      </c>
    </row>
    <row r="16" spans="1:9" ht="21" customHeight="1">
      <c r="A16" s="27"/>
      <c r="B16" s="26" t="s">
        <v>31</v>
      </c>
      <c r="C16" s="26" t="s">
        <v>317</v>
      </c>
      <c r="D16" s="61">
        <v>999395660462</v>
      </c>
      <c r="E16" s="30" t="s">
        <v>32</v>
      </c>
      <c r="F16" s="8"/>
      <c r="G16" s="8"/>
      <c r="H16" s="8"/>
      <c r="I16" s="9">
        <f t="shared" si="0"/>
        <v>0</v>
      </c>
    </row>
    <row r="17" spans="1:9" ht="21" customHeight="1">
      <c r="A17" s="27"/>
      <c r="B17" s="26" t="s">
        <v>33</v>
      </c>
      <c r="C17" s="26" t="s">
        <v>366</v>
      </c>
      <c r="D17" s="61">
        <v>999395662284</v>
      </c>
      <c r="E17" s="30" t="s">
        <v>34</v>
      </c>
      <c r="F17" s="8"/>
      <c r="G17" s="8"/>
      <c r="H17" s="8"/>
      <c r="I17" s="9">
        <f t="shared" si="0"/>
        <v>0</v>
      </c>
    </row>
    <row r="18" spans="1:9" ht="21" customHeight="1">
      <c r="A18" s="27"/>
      <c r="B18" s="26" t="s">
        <v>35</v>
      </c>
      <c r="C18" s="26" t="s">
        <v>292</v>
      </c>
      <c r="D18" s="61">
        <v>999395662947</v>
      </c>
      <c r="E18" s="30" t="s">
        <v>36</v>
      </c>
      <c r="F18" s="8"/>
      <c r="G18" s="8"/>
      <c r="H18" s="8"/>
      <c r="I18" s="9">
        <f t="shared" si="0"/>
        <v>0</v>
      </c>
    </row>
    <row r="19" spans="1:9" ht="21" customHeight="1">
      <c r="A19" s="27"/>
      <c r="B19" s="26" t="s">
        <v>37</v>
      </c>
      <c r="C19" s="26" t="s">
        <v>369</v>
      </c>
      <c r="D19" s="61">
        <v>999395663410</v>
      </c>
      <c r="E19" s="30" t="s">
        <v>38</v>
      </c>
      <c r="F19" s="8"/>
      <c r="G19" s="8"/>
      <c r="H19" s="8"/>
      <c r="I19" s="9">
        <f t="shared" si="0"/>
        <v>0</v>
      </c>
    </row>
    <row r="20" spans="1:9" ht="21" customHeight="1">
      <c r="A20" s="27"/>
      <c r="B20" s="26" t="s">
        <v>39</v>
      </c>
      <c r="C20" s="26" t="s">
        <v>293</v>
      </c>
      <c r="D20" s="61">
        <v>999395665004</v>
      </c>
      <c r="E20" s="30" t="s">
        <v>40</v>
      </c>
      <c r="F20" s="8"/>
      <c r="G20" s="8"/>
      <c r="H20" s="8"/>
      <c r="I20" s="9">
        <f t="shared" si="0"/>
        <v>0</v>
      </c>
    </row>
    <row r="21" spans="1:9" ht="21" customHeight="1">
      <c r="A21" s="27"/>
      <c r="B21" s="26" t="s">
        <v>41</v>
      </c>
      <c r="C21" s="26" t="s">
        <v>367</v>
      </c>
      <c r="D21" s="61">
        <v>999395665500</v>
      </c>
      <c r="E21" s="30" t="s">
        <v>42</v>
      </c>
      <c r="F21" s="8"/>
      <c r="G21" s="8"/>
      <c r="H21" s="8"/>
      <c r="I21" s="9">
        <f t="shared" si="0"/>
        <v>0</v>
      </c>
    </row>
    <row r="22" spans="1:9" ht="21" customHeight="1">
      <c r="A22" s="27"/>
      <c r="B22" s="26" t="s">
        <v>43</v>
      </c>
      <c r="C22" s="93"/>
      <c r="D22" s="61">
        <v>999395674678</v>
      </c>
      <c r="E22" s="30" t="s">
        <v>44</v>
      </c>
      <c r="F22" s="8"/>
      <c r="G22" s="8"/>
      <c r="H22" s="8"/>
      <c r="I22" s="9">
        <f t="shared" si="0"/>
        <v>0</v>
      </c>
    </row>
    <row r="23" spans="1:9" ht="21" customHeight="1">
      <c r="A23" s="27"/>
      <c r="B23" s="26" t="s">
        <v>45</v>
      </c>
      <c r="C23" s="26" t="s">
        <v>307</v>
      </c>
      <c r="D23" s="61">
        <v>999395675751</v>
      </c>
      <c r="E23" s="30" t="s">
        <v>46</v>
      </c>
      <c r="F23" s="8"/>
      <c r="G23" s="8"/>
      <c r="H23" s="8"/>
      <c r="I23" s="9">
        <f t="shared" si="0"/>
        <v>0</v>
      </c>
    </row>
    <row r="24" spans="1:9" ht="21" customHeight="1">
      <c r="A24" s="27"/>
      <c r="B24" s="26" t="s">
        <v>47</v>
      </c>
      <c r="C24" s="26" t="s">
        <v>318</v>
      </c>
      <c r="D24" s="61">
        <v>999395676257</v>
      </c>
      <c r="E24" s="30" t="s">
        <v>48</v>
      </c>
      <c r="F24" s="8"/>
      <c r="G24" s="8"/>
      <c r="H24" s="8"/>
      <c r="I24" s="9">
        <f t="shared" si="0"/>
        <v>0</v>
      </c>
    </row>
    <row r="25" spans="1:9" ht="21" customHeight="1">
      <c r="A25" s="27"/>
      <c r="B25" s="26" t="s">
        <v>49</v>
      </c>
      <c r="C25" s="26" t="s">
        <v>328</v>
      </c>
      <c r="D25" s="61">
        <v>999395676905</v>
      </c>
      <c r="E25" s="30" t="s">
        <v>50</v>
      </c>
      <c r="F25" s="8"/>
      <c r="G25" s="8"/>
      <c r="H25" s="8"/>
      <c r="I25" s="9">
        <f t="shared" si="0"/>
        <v>0</v>
      </c>
    </row>
    <row r="26" spans="1:9" ht="21" customHeight="1">
      <c r="A26" s="27"/>
      <c r="B26" s="26" t="s">
        <v>51</v>
      </c>
      <c r="C26" s="93"/>
      <c r="D26" s="61">
        <v>999395677339</v>
      </c>
      <c r="E26" s="30" t="s">
        <v>52</v>
      </c>
      <c r="F26" s="8"/>
      <c r="G26" s="8"/>
      <c r="H26" s="8"/>
      <c r="I26" s="9">
        <f t="shared" si="0"/>
        <v>0</v>
      </c>
    </row>
    <row r="27" spans="1:9" ht="21" customHeight="1">
      <c r="A27" s="27"/>
      <c r="B27" s="26" t="s">
        <v>53</v>
      </c>
      <c r="C27" s="93"/>
      <c r="D27" s="61">
        <v>999395680029</v>
      </c>
      <c r="E27" s="30" t="s">
        <v>54</v>
      </c>
      <c r="F27" s="8"/>
      <c r="G27" s="8"/>
      <c r="H27" s="8"/>
      <c r="I27" s="9">
        <f t="shared" si="0"/>
        <v>0</v>
      </c>
    </row>
    <row r="28" spans="1:9" ht="21" customHeight="1">
      <c r="A28" s="27"/>
      <c r="B28" s="26" t="s">
        <v>55</v>
      </c>
      <c r="C28" s="26" t="s">
        <v>294</v>
      </c>
      <c r="D28" s="61">
        <v>999395682858</v>
      </c>
      <c r="E28" s="30" t="s">
        <v>56</v>
      </c>
      <c r="F28" s="8"/>
      <c r="G28" s="8"/>
      <c r="H28" s="8"/>
      <c r="I28" s="9">
        <f t="shared" si="0"/>
        <v>0</v>
      </c>
    </row>
    <row r="29" spans="1:9" ht="21" customHeight="1">
      <c r="A29" s="27"/>
      <c r="B29" s="26" t="s">
        <v>57</v>
      </c>
      <c r="C29" s="26" t="s">
        <v>295</v>
      </c>
      <c r="D29" s="12">
        <v>512095448</v>
      </c>
      <c r="E29" s="30" t="s">
        <v>58</v>
      </c>
      <c r="F29" s="8"/>
      <c r="G29" s="8"/>
      <c r="H29" s="8"/>
      <c r="I29" s="9">
        <f t="shared" si="0"/>
        <v>0</v>
      </c>
    </row>
    <row r="30" spans="1:9" ht="21" customHeight="1">
      <c r="A30" s="27"/>
      <c r="B30" s="26" t="s">
        <v>59</v>
      </c>
      <c r="C30" s="26" t="s">
        <v>296</v>
      </c>
      <c r="D30" s="61">
        <v>999395695033</v>
      </c>
      <c r="E30" s="30" t="s">
        <v>60</v>
      </c>
      <c r="F30" s="8"/>
      <c r="G30" s="8"/>
      <c r="H30" s="8"/>
      <c r="I30" s="9">
        <f t="shared" si="0"/>
        <v>0</v>
      </c>
    </row>
    <row r="31" spans="1:9" ht="21" customHeight="1">
      <c r="A31" s="27"/>
      <c r="B31" s="26" t="s">
        <v>61</v>
      </c>
      <c r="C31" s="26" t="s">
        <v>296</v>
      </c>
      <c r="D31" s="61">
        <v>999395696742</v>
      </c>
      <c r="E31" s="30" t="s">
        <v>62</v>
      </c>
      <c r="F31" s="8"/>
      <c r="G31" s="8"/>
      <c r="H31" s="8"/>
      <c r="I31" s="9">
        <f t="shared" si="0"/>
        <v>0</v>
      </c>
    </row>
    <row r="32" spans="1:9" ht="21" customHeight="1">
      <c r="A32" s="27"/>
      <c r="B32" s="26" t="s">
        <v>63</v>
      </c>
      <c r="C32" s="26" t="s">
        <v>308</v>
      </c>
      <c r="D32" s="61">
        <v>999395697615</v>
      </c>
      <c r="E32" s="30" t="s">
        <v>64</v>
      </c>
      <c r="F32" s="8">
        <f>872.82/2</f>
        <v>436.41</v>
      </c>
      <c r="G32" s="8">
        <f>25.86/2</f>
        <v>12.93</v>
      </c>
      <c r="H32" s="8">
        <f>0.75/2</f>
        <v>0.375</v>
      </c>
      <c r="I32" s="9">
        <f t="shared" si="0"/>
        <v>449.71500000000003</v>
      </c>
    </row>
    <row r="33" spans="1:9" ht="21" customHeight="1">
      <c r="A33" s="27"/>
      <c r="B33" s="26" t="s">
        <v>65</v>
      </c>
      <c r="C33" s="26" t="s">
        <v>297</v>
      </c>
      <c r="D33" s="61">
        <v>999395698321</v>
      </c>
      <c r="E33" s="30" t="s">
        <v>66</v>
      </c>
      <c r="F33" s="8">
        <f>907.47/2</f>
        <v>453.735</v>
      </c>
      <c r="G33" s="8">
        <f>26.88/2</f>
        <v>13.44</v>
      </c>
      <c r="H33" s="8">
        <f>0.8/2</f>
        <v>0.4</v>
      </c>
      <c r="I33" s="9">
        <f t="shared" si="0"/>
        <v>467.575</v>
      </c>
    </row>
    <row r="34" spans="1:9" s="19" customFormat="1" ht="21" customHeight="1">
      <c r="A34" s="27"/>
      <c r="B34" s="26" t="s">
        <v>67</v>
      </c>
      <c r="C34" s="26" t="s">
        <v>309</v>
      </c>
      <c r="D34" s="62">
        <v>999395698661</v>
      </c>
      <c r="E34" s="31" t="s">
        <v>68</v>
      </c>
      <c r="F34" s="18">
        <f>412.75/2</f>
        <v>206.375</v>
      </c>
      <c r="G34" s="18">
        <f>12.05/2</f>
        <v>6.025</v>
      </c>
      <c r="H34" s="18">
        <f>0.79/2</f>
        <v>0.395</v>
      </c>
      <c r="I34" s="9">
        <f t="shared" si="0"/>
        <v>212.79500000000002</v>
      </c>
    </row>
    <row r="35" spans="1:9" ht="21" customHeight="1">
      <c r="A35" s="27"/>
      <c r="B35" s="26" t="s">
        <v>69</v>
      </c>
      <c r="C35" s="26"/>
      <c r="D35" s="61">
        <v>999395699042</v>
      </c>
      <c r="E35" s="30" t="s">
        <v>70</v>
      </c>
      <c r="F35" s="8">
        <f>1133.53/2</f>
        <v>566.765</v>
      </c>
      <c r="G35" s="8">
        <f>33.68/2</f>
        <v>16.84</v>
      </c>
      <c r="H35" s="8">
        <f>0.76/2</f>
        <v>0.38</v>
      </c>
      <c r="I35" s="9">
        <f t="shared" si="0"/>
        <v>583.985</v>
      </c>
    </row>
    <row r="36" spans="1:9" ht="21" customHeight="1">
      <c r="A36" s="27"/>
      <c r="B36" s="26" t="s">
        <v>71</v>
      </c>
      <c r="C36" s="93"/>
      <c r="D36" s="61">
        <v>999395699192</v>
      </c>
      <c r="E36" s="30" t="s">
        <v>72</v>
      </c>
      <c r="F36" s="18">
        <f>425.02/2</f>
        <v>212.51</v>
      </c>
      <c r="G36" s="18">
        <f>12.42/2</f>
        <v>6.21</v>
      </c>
      <c r="H36" s="18">
        <f>0.77/2</f>
        <v>0.385</v>
      </c>
      <c r="I36" s="87">
        <f t="shared" si="0"/>
        <v>219.105</v>
      </c>
    </row>
    <row r="37" spans="1:9" ht="21" customHeight="1">
      <c r="A37" s="27"/>
      <c r="B37" s="26" t="s">
        <v>73</v>
      </c>
      <c r="C37" s="93"/>
      <c r="D37" s="61">
        <v>999395699382</v>
      </c>
      <c r="E37" s="30" t="s">
        <v>74</v>
      </c>
      <c r="F37" s="8">
        <f>491.56/2</f>
        <v>245.78</v>
      </c>
      <c r="G37" s="8">
        <f>14.42/2</f>
        <v>7.21</v>
      </c>
      <c r="H37" s="8">
        <f>0.76/2</f>
        <v>0.38</v>
      </c>
      <c r="I37" s="9">
        <f t="shared" si="0"/>
        <v>253.37</v>
      </c>
    </row>
    <row r="38" spans="1:9" ht="21" customHeight="1">
      <c r="A38" s="27"/>
      <c r="B38" s="26" t="s">
        <v>75</v>
      </c>
      <c r="C38" s="26" t="s">
        <v>298</v>
      </c>
      <c r="D38" s="61">
        <v>999395699631</v>
      </c>
      <c r="E38" s="30" t="s">
        <v>76</v>
      </c>
      <c r="F38" s="8">
        <f>142.01/2</f>
        <v>71.005</v>
      </c>
      <c r="G38" s="8">
        <f>3.94/2</f>
        <v>1.97</v>
      </c>
      <c r="H38" s="8">
        <f>0.75/2</f>
        <v>0.375</v>
      </c>
      <c r="I38" s="9">
        <f t="shared" si="0"/>
        <v>73.35</v>
      </c>
    </row>
    <row r="39" spans="1:9" ht="21" customHeight="1">
      <c r="A39" s="27"/>
      <c r="B39" s="26" t="s">
        <v>77</v>
      </c>
      <c r="C39" s="93"/>
      <c r="D39" s="61">
        <v>999395699855</v>
      </c>
      <c r="E39" s="30" t="s">
        <v>78</v>
      </c>
      <c r="F39" s="8">
        <f>363.43/2</f>
        <v>181.715</v>
      </c>
      <c r="G39" s="8">
        <f>10.56/2</f>
        <v>5.28</v>
      </c>
      <c r="H39" s="8">
        <f>0.79/2</f>
        <v>0.395</v>
      </c>
      <c r="I39" s="9">
        <f t="shared" si="0"/>
        <v>187.39000000000001</v>
      </c>
    </row>
    <row r="40" spans="1:9" ht="21" customHeight="1">
      <c r="A40" s="27"/>
      <c r="B40" s="26" t="s">
        <v>79</v>
      </c>
      <c r="C40" s="26" t="s">
        <v>299</v>
      </c>
      <c r="D40" s="61">
        <v>999395699914</v>
      </c>
      <c r="E40" s="30" t="s">
        <v>80</v>
      </c>
      <c r="F40" s="8">
        <f>681.02/2</f>
        <v>340.51</v>
      </c>
      <c r="G40" s="8">
        <f>20.09/2</f>
        <v>10.045</v>
      </c>
      <c r="H40" s="8">
        <f>0.79/2</f>
        <v>0.395</v>
      </c>
      <c r="I40" s="9">
        <f t="shared" si="0"/>
        <v>350.95</v>
      </c>
    </row>
    <row r="41" spans="1:9" ht="21" customHeight="1">
      <c r="A41" s="27"/>
      <c r="B41" s="26" t="s">
        <v>81</v>
      </c>
      <c r="C41" s="26" t="s">
        <v>329</v>
      </c>
      <c r="D41" s="61">
        <v>999395720675</v>
      </c>
      <c r="E41" s="30" t="s">
        <v>82</v>
      </c>
      <c r="F41" s="8">
        <f>1013.54/2</f>
        <v>506.77</v>
      </c>
      <c r="G41" s="8">
        <f>30.07/2</f>
        <v>15.035</v>
      </c>
      <c r="H41" s="8">
        <f>0.79/2</f>
        <v>0.395</v>
      </c>
      <c r="I41" s="9">
        <f t="shared" si="0"/>
        <v>522.1999999999999</v>
      </c>
    </row>
    <row r="42" spans="1:9" ht="21" customHeight="1">
      <c r="A42" s="27"/>
      <c r="B42" s="26" t="s">
        <v>83</v>
      </c>
      <c r="C42" s="26" t="s">
        <v>300</v>
      </c>
      <c r="D42" s="61">
        <v>999395721493</v>
      </c>
      <c r="E42" s="30" t="s">
        <v>84</v>
      </c>
      <c r="F42" s="8">
        <f>569.94/2</f>
        <v>284.97</v>
      </c>
      <c r="G42" s="8">
        <f>16.78/2</f>
        <v>8.39</v>
      </c>
      <c r="H42" s="8">
        <f>0.73/2</f>
        <v>0.365</v>
      </c>
      <c r="I42" s="9">
        <f t="shared" si="0"/>
        <v>293.725</v>
      </c>
    </row>
    <row r="43" spans="1:9" ht="21" customHeight="1">
      <c r="A43" s="27"/>
      <c r="B43" s="26" t="s">
        <v>85</v>
      </c>
      <c r="C43" s="26"/>
      <c r="D43" s="61">
        <v>999395728957</v>
      </c>
      <c r="E43" s="30" t="s">
        <v>86</v>
      </c>
      <c r="F43" s="8">
        <f>184.63/2</f>
        <v>92.315</v>
      </c>
      <c r="G43" s="8">
        <f>5.21/2</f>
        <v>2.605</v>
      </c>
      <c r="H43" s="8">
        <f>0.76/2</f>
        <v>0.38</v>
      </c>
      <c r="I43" s="9">
        <f t="shared" si="0"/>
        <v>95.3</v>
      </c>
    </row>
    <row r="44" spans="1:9" ht="21" customHeight="1">
      <c r="A44" s="27"/>
      <c r="B44" s="26" t="s">
        <v>87</v>
      </c>
      <c r="C44" s="26" t="s">
        <v>330</v>
      </c>
      <c r="D44" s="61">
        <v>999395729357</v>
      </c>
      <c r="E44" s="30" t="s">
        <v>88</v>
      </c>
      <c r="F44" s="8">
        <f>270.34/2</f>
        <v>135.17</v>
      </c>
      <c r="G44" s="8">
        <f>7.8/2</f>
        <v>3.9</v>
      </c>
      <c r="H44" s="8">
        <f>0.73/2</f>
        <v>0.365</v>
      </c>
      <c r="I44" s="9">
        <f t="shared" si="0"/>
        <v>139.435</v>
      </c>
    </row>
    <row r="45" spans="1:9" ht="21" customHeight="1">
      <c r="A45" s="27"/>
      <c r="B45" s="26" t="s">
        <v>89</v>
      </c>
      <c r="C45" s="93"/>
      <c r="D45" s="61">
        <v>999395729815</v>
      </c>
      <c r="E45" s="30" t="s">
        <v>90</v>
      </c>
      <c r="F45" s="8">
        <f>320.54/2</f>
        <v>160.27</v>
      </c>
      <c r="G45" s="8">
        <f>9.28/2</f>
        <v>4.64</v>
      </c>
      <c r="H45" s="8">
        <f>0.79/2</f>
        <v>0.395</v>
      </c>
      <c r="I45" s="9">
        <f t="shared" si="0"/>
        <v>165.305</v>
      </c>
    </row>
    <row r="46" spans="1:9" ht="21" customHeight="1">
      <c r="A46" s="27"/>
      <c r="B46" s="26" t="s">
        <v>94</v>
      </c>
      <c r="C46" s="26" t="s">
        <v>331</v>
      </c>
      <c r="D46" s="61">
        <v>999395730546</v>
      </c>
      <c r="E46" s="30" t="s">
        <v>91</v>
      </c>
      <c r="F46" s="8">
        <f>180.8/2</f>
        <v>90.4</v>
      </c>
      <c r="G46" s="8">
        <f>5.09/2</f>
        <v>2.545</v>
      </c>
      <c r="H46" s="8">
        <f>0.79/2</f>
        <v>0.395</v>
      </c>
      <c r="I46" s="9">
        <f t="shared" si="0"/>
        <v>93.34</v>
      </c>
    </row>
    <row r="47" spans="1:9" ht="21" customHeight="1">
      <c r="A47" s="27"/>
      <c r="B47" s="26" t="s">
        <v>92</v>
      </c>
      <c r="C47" s="26" t="s">
        <v>319</v>
      </c>
      <c r="D47" s="61">
        <v>999395731005</v>
      </c>
      <c r="E47" s="32" t="s">
        <v>93</v>
      </c>
      <c r="F47" s="8">
        <f>270.47/2</f>
        <v>135.235</v>
      </c>
      <c r="G47" s="8">
        <f>7.79/2</f>
        <v>3.895</v>
      </c>
      <c r="H47" s="8">
        <f>0.76/2</f>
        <v>0.38</v>
      </c>
      <c r="I47" s="9">
        <f t="shared" si="0"/>
        <v>139.51000000000002</v>
      </c>
    </row>
    <row r="48" spans="1:9" ht="21" customHeight="1">
      <c r="A48" s="27"/>
      <c r="B48" s="26" t="s">
        <v>95</v>
      </c>
      <c r="C48" s="93"/>
      <c r="D48" s="61">
        <v>999395731797</v>
      </c>
      <c r="E48" s="30" t="s">
        <v>96</v>
      </c>
      <c r="F48" s="8">
        <f>147.31/2</f>
        <v>73.655</v>
      </c>
      <c r="G48" s="8">
        <f>4.1/2</f>
        <v>2.05</v>
      </c>
      <c r="H48" s="8">
        <f>0.75/2</f>
        <v>0.375</v>
      </c>
      <c r="I48" s="9">
        <f t="shared" si="0"/>
        <v>76.08</v>
      </c>
    </row>
    <row r="49" spans="1:9" ht="21" customHeight="1">
      <c r="A49" s="27"/>
      <c r="B49" s="26" t="s">
        <v>97</v>
      </c>
      <c r="C49" s="26"/>
      <c r="D49" s="61">
        <v>999395850272</v>
      </c>
      <c r="E49" s="30" t="s">
        <v>98</v>
      </c>
      <c r="F49" s="8"/>
      <c r="G49" s="8"/>
      <c r="H49" s="8"/>
      <c r="I49" s="9">
        <f t="shared" si="0"/>
        <v>0</v>
      </c>
    </row>
    <row r="50" spans="1:9" ht="21" customHeight="1">
      <c r="A50" s="27"/>
      <c r="B50" s="26" t="s">
        <v>99</v>
      </c>
      <c r="C50" s="93"/>
      <c r="D50" s="61">
        <v>999395869847</v>
      </c>
      <c r="E50" s="30" t="s">
        <v>100</v>
      </c>
      <c r="F50" s="8"/>
      <c r="G50" s="8"/>
      <c r="H50" s="8"/>
      <c r="I50" s="9">
        <f t="shared" si="0"/>
        <v>0</v>
      </c>
    </row>
    <row r="51" spans="1:9" ht="21" customHeight="1">
      <c r="A51" s="27"/>
      <c r="B51" s="26" t="s">
        <v>101</v>
      </c>
      <c r="C51" s="26" t="s">
        <v>371</v>
      </c>
      <c r="D51" s="12">
        <v>83007836944</v>
      </c>
      <c r="E51" s="30" t="s">
        <v>102</v>
      </c>
      <c r="F51" s="8"/>
      <c r="G51" s="8"/>
      <c r="H51" s="8"/>
      <c r="I51" s="9">
        <f t="shared" si="0"/>
        <v>0</v>
      </c>
    </row>
    <row r="52" spans="1:9" ht="21" customHeight="1">
      <c r="A52" s="27"/>
      <c r="B52" s="26" t="s">
        <v>103</v>
      </c>
      <c r="C52" s="26" t="s">
        <v>286</v>
      </c>
      <c r="D52" s="61">
        <v>999418107083</v>
      </c>
      <c r="E52" s="30" t="s">
        <v>104</v>
      </c>
      <c r="F52" s="8">
        <f>761.37/2</f>
        <v>380.685</v>
      </c>
      <c r="G52" s="8">
        <f>22.5/2</f>
        <v>11.25</v>
      </c>
      <c r="H52" s="8">
        <f>0.79/2</f>
        <v>0.395</v>
      </c>
      <c r="I52" s="9">
        <f t="shared" si="0"/>
        <v>392.33</v>
      </c>
    </row>
    <row r="53" spans="1:9" ht="21" customHeight="1">
      <c r="A53" s="27"/>
      <c r="B53" s="26" t="s">
        <v>105</v>
      </c>
      <c r="C53" s="26" t="s">
        <v>332</v>
      </c>
      <c r="D53" s="61">
        <v>999418108530</v>
      </c>
      <c r="E53" s="30" t="s">
        <v>106</v>
      </c>
      <c r="F53" s="8"/>
      <c r="G53" s="8"/>
      <c r="H53" s="8"/>
      <c r="I53" s="9">
        <f t="shared" si="0"/>
        <v>0</v>
      </c>
    </row>
    <row r="54" spans="1:9" ht="21" customHeight="1">
      <c r="A54" s="27"/>
      <c r="B54" s="26" t="s">
        <v>107</v>
      </c>
      <c r="C54" s="26" t="s">
        <v>302</v>
      </c>
      <c r="D54" s="61">
        <v>999444028261</v>
      </c>
      <c r="E54" s="30" t="s">
        <v>108</v>
      </c>
      <c r="F54" s="8"/>
      <c r="G54" s="8"/>
      <c r="H54" s="8"/>
      <c r="I54" s="9">
        <f t="shared" si="0"/>
        <v>0</v>
      </c>
    </row>
    <row r="55" spans="1:9" ht="21" customHeight="1">
      <c r="A55" s="27"/>
      <c r="B55" s="26" t="s">
        <v>109</v>
      </c>
      <c r="C55" s="26" t="s">
        <v>313</v>
      </c>
      <c r="D55" s="12">
        <v>83000769293</v>
      </c>
      <c r="E55" s="30" t="s">
        <v>110</v>
      </c>
      <c r="F55" s="8"/>
      <c r="G55" s="8"/>
      <c r="H55" s="8"/>
      <c r="I55" s="9">
        <f t="shared" si="0"/>
        <v>0</v>
      </c>
    </row>
    <row r="56" spans="1:9" ht="21" customHeight="1">
      <c r="A56" s="27"/>
      <c r="B56" s="35" t="s">
        <v>125</v>
      </c>
      <c r="C56" s="94"/>
      <c r="D56" s="36">
        <v>60006203645</v>
      </c>
      <c r="E56" s="37" t="s">
        <v>126</v>
      </c>
      <c r="F56" s="8"/>
      <c r="G56" s="8"/>
      <c r="H56" s="8"/>
      <c r="I56" s="9">
        <f t="shared" si="0"/>
        <v>0</v>
      </c>
    </row>
    <row r="57" spans="1:9" ht="21" customHeight="1">
      <c r="A57" s="27"/>
      <c r="B57" s="26" t="s">
        <v>127</v>
      </c>
      <c r="C57" s="93"/>
      <c r="D57" s="12">
        <v>60007966411</v>
      </c>
      <c r="E57" s="30" t="s">
        <v>128</v>
      </c>
      <c r="F57" s="8"/>
      <c r="G57" s="8"/>
      <c r="H57" s="8"/>
      <c r="I57" s="9">
        <f t="shared" si="0"/>
        <v>0</v>
      </c>
    </row>
    <row r="58" spans="1:9" ht="21" customHeight="1">
      <c r="A58" s="27"/>
      <c r="B58" s="26" t="s">
        <v>129</v>
      </c>
      <c r="C58" s="26" t="s">
        <v>289</v>
      </c>
      <c r="D58" s="12">
        <v>60006643135</v>
      </c>
      <c r="E58" s="30" t="s">
        <v>130</v>
      </c>
      <c r="F58" s="8">
        <f>112.36/2</f>
        <v>56.18</v>
      </c>
      <c r="G58" s="8">
        <f>3.34/2</f>
        <v>1.67</v>
      </c>
      <c r="H58" s="8">
        <f>0.08/2</f>
        <v>0.04</v>
      </c>
      <c r="I58" s="9">
        <f t="shared" si="0"/>
        <v>57.89</v>
      </c>
    </row>
    <row r="59" spans="1:9" ht="21" customHeight="1">
      <c r="A59" s="27"/>
      <c r="B59" s="26" t="s">
        <v>131</v>
      </c>
      <c r="C59" s="93"/>
      <c r="D59" s="12">
        <v>60007843244</v>
      </c>
      <c r="E59" s="30" t="s">
        <v>132</v>
      </c>
      <c r="F59" s="8">
        <f>127.22/2</f>
        <v>63.61</v>
      </c>
      <c r="G59" s="8">
        <f>3.79/2</f>
        <v>1.895</v>
      </c>
      <c r="H59" s="8">
        <f>0.07/2</f>
        <v>0.035</v>
      </c>
      <c r="I59" s="9">
        <f>SUM(F59:H59)</f>
        <v>65.53999999999999</v>
      </c>
    </row>
    <row r="60" spans="1:9" ht="21" customHeight="1">
      <c r="A60" s="27"/>
      <c r="B60" s="26" t="s">
        <v>133</v>
      </c>
      <c r="C60" s="26" t="s">
        <v>322</v>
      </c>
      <c r="D60" s="12">
        <v>60007843069</v>
      </c>
      <c r="E60" s="30" t="s">
        <v>134</v>
      </c>
      <c r="F60" s="8">
        <f>70.17/2</f>
        <v>35.085</v>
      </c>
      <c r="G60" s="8">
        <f>2.02/2</f>
        <v>1.01</v>
      </c>
      <c r="H60" s="8">
        <f>0.2/2</f>
        <v>0.1</v>
      </c>
      <c r="I60" s="9">
        <f t="shared" si="0"/>
        <v>36.195</v>
      </c>
    </row>
    <row r="61" spans="1:9" ht="21" customHeight="1">
      <c r="A61" s="27"/>
      <c r="B61" s="26" t="s">
        <v>135</v>
      </c>
      <c r="C61" s="26" t="s">
        <v>353</v>
      </c>
      <c r="D61" s="12">
        <v>60007843073</v>
      </c>
      <c r="E61" s="30" t="s">
        <v>136</v>
      </c>
      <c r="F61" s="8">
        <f>119.95/2</f>
        <v>59.975</v>
      </c>
      <c r="G61" s="8">
        <f>3.57/2</f>
        <v>1.785</v>
      </c>
      <c r="H61" s="8">
        <f>0.07/2</f>
        <v>0.035</v>
      </c>
      <c r="I61" s="9">
        <f aca="true" t="shared" si="1" ref="I61:I121">SUM(F61:H61)</f>
        <v>61.794999999999995</v>
      </c>
    </row>
    <row r="62" spans="1:9" ht="21" customHeight="1">
      <c r="A62" s="27"/>
      <c r="B62" s="26" t="s">
        <v>137</v>
      </c>
      <c r="C62" s="93"/>
      <c r="D62" s="12">
        <v>60007843356</v>
      </c>
      <c r="E62" s="30" t="s">
        <v>138</v>
      </c>
      <c r="F62" s="8">
        <f>48.49/2</f>
        <v>24.245</v>
      </c>
      <c r="G62" s="8">
        <f>1.42/2</f>
        <v>0.71</v>
      </c>
      <c r="H62" s="8">
        <f>0.07/2</f>
        <v>0.035</v>
      </c>
      <c r="I62" s="9">
        <f t="shared" si="1"/>
        <v>24.990000000000002</v>
      </c>
    </row>
    <row r="63" spans="1:9" ht="21" customHeight="1">
      <c r="A63" s="27"/>
      <c r="B63" s="26" t="s">
        <v>139</v>
      </c>
      <c r="C63" s="93"/>
      <c r="D63" s="12">
        <v>60007847274</v>
      </c>
      <c r="E63" s="30" t="s">
        <v>140</v>
      </c>
      <c r="F63" s="8">
        <f>76.66/2</f>
        <v>38.33</v>
      </c>
      <c r="G63" s="8">
        <f>2.21/2</f>
        <v>1.105</v>
      </c>
      <c r="H63" s="8">
        <f>0.2/2</f>
        <v>0.1</v>
      </c>
      <c r="I63" s="9">
        <f t="shared" si="1"/>
        <v>39.535</v>
      </c>
    </row>
    <row r="64" spans="1:9" ht="21" customHeight="1">
      <c r="A64" s="27"/>
      <c r="B64" s="26" t="s">
        <v>141</v>
      </c>
      <c r="C64" s="93"/>
      <c r="D64" s="12">
        <v>60007847482</v>
      </c>
      <c r="E64" s="30" t="s">
        <v>142</v>
      </c>
      <c r="F64" s="8"/>
      <c r="G64" s="8"/>
      <c r="H64" s="8"/>
      <c r="I64" s="9">
        <f t="shared" si="1"/>
        <v>0</v>
      </c>
    </row>
    <row r="65" spans="1:9" ht="21" customHeight="1">
      <c r="A65" s="27"/>
      <c r="B65" s="26" t="s">
        <v>143</v>
      </c>
      <c r="C65" s="26" t="s">
        <v>323</v>
      </c>
      <c r="D65" s="12">
        <v>60007858040</v>
      </c>
      <c r="E65" s="78" t="s">
        <v>144</v>
      </c>
      <c r="F65" s="8"/>
      <c r="G65" s="8"/>
      <c r="H65" s="8"/>
      <c r="I65" s="9">
        <f t="shared" si="1"/>
        <v>0</v>
      </c>
    </row>
    <row r="66" spans="1:9" s="19" customFormat="1" ht="21" customHeight="1">
      <c r="A66" s="27"/>
      <c r="B66" s="43" t="s">
        <v>145</v>
      </c>
      <c r="C66" s="43" t="s">
        <v>358</v>
      </c>
      <c r="D66" s="44">
        <v>60007889355</v>
      </c>
      <c r="E66" s="37" t="s">
        <v>146</v>
      </c>
      <c r="F66" s="18">
        <f>55.23/2</f>
        <v>27.615</v>
      </c>
      <c r="G66" s="18">
        <f>1.62/2</f>
        <v>0.81</v>
      </c>
      <c r="H66" s="18">
        <f>0.08/2</f>
        <v>0.04</v>
      </c>
      <c r="I66" s="9">
        <f t="shared" si="1"/>
        <v>28.464999999999996</v>
      </c>
    </row>
    <row r="67" spans="1:9" s="19" customFormat="1" ht="21" customHeight="1">
      <c r="A67" s="39"/>
      <c r="B67" s="41" t="s">
        <v>147</v>
      </c>
      <c r="C67" s="41" t="s">
        <v>311</v>
      </c>
      <c r="D67" s="40">
        <v>60007899611</v>
      </c>
      <c r="E67" s="42" t="s">
        <v>148</v>
      </c>
      <c r="F67" s="18"/>
      <c r="G67" s="18"/>
      <c r="H67" s="18"/>
      <c r="I67" s="9">
        <f t="shared" si="1"/>
        <v>0</v>
      </c>
    </row>
    <row r="68" spans="1:9" ht="21" customHeight="1">
      <c r="A68" s="27"/>
      <c r="B68" s="26" t="s">
        <v>149</v>
      </c>
      <c r="C68" s="93"/>
      <c r="D68" s="12">
        <v>60008073286</v>
      </c>
      <c r="E68" s="30" t="s">
        <v>150</v>
      </c>
      <c r="F68" s="8">
        <f>25.63/2</f>
        <v>12.815</v>
      </c>
      <c r="G68" s="8">
        <f>0.68/2</f>
        <v>0.34</v>
      </c>
      <c r="H68" s="8">
        <f>0.2/2</f>
        <v>0.1</v>
      </c>
      <c r="I68" s="9">
        <f t="shared" si="1"/>
        <v>13.254999999999999</v>
      </c>
    </row>
    <row r="69" spans="1:9" ht="21" customHeight="1">
      <c r="A69" s="27"/>
      <c r="B69" s="26" t="s">
        <v>151</v>
      </c>
      <c r="C69" s="26"/>
      <c r="D69" s="12">
        <v>60008101006</v>
      </c>
      <c r="E69" s="30" t="s">
        <v>152</v>
      </c>
      <c r="F69" s="8"/>
      <c r="G69" s="8"/>
      <c r="H69" s="8"/>
      <c r="I69" s="9">
        <f t="shared" si="1"/>
        <v>0</v>
      </c>
    </row>
    <row r="70" spans="1:9" ht="21" customHeight="1">
      <c r="A70" s="27"/>
      <c r="B70" s="26" t="s">
        <v>153</v>
      </c>
      <c r="C70" s="26" t="s">
        <v>359</v>
      </c>
      <c r="D70" s="12">
        <v>60008115357</v>
      </c>
      <c r="E70" s="30" t="s">
        <v>154</v>
      </c>
      <c r="F70" s="8"/>
      <c r="G70" s="8"/>
      <c r="H70" s="8"/>
      <c r="I70" s="9">
        <f t="shared" si="1"/>
        <v>0</v>
      </c>
    </row>
    <row r="71" spans="1:9" ht="21" customHeight="1">
      <c r="A71" s="27"/>
      <c r="B71" s="26" t="s">
        <v>155</v>
      </c>
      <c r="C71" s="26" t="s">
        <v>312</v>
      </c>
      <c r="D71" s="12">
        <v>60008450632</v>
      </c>
      <c r="E71" s="30" t="s">
        <v>156</v>
      </c>
      <c r="F71" s="8"/>
      <c r="G71" s="8"/>
      <c r="H71" s="8"/>
      <c r="I71" s="9">
        <f t="shared" si="1"/>
        <v>0</v>
      </c>
    </row>
    <row r="72" spans="1:9" ht="21" customHeight="1">
      <c r="A72" s="27"/>
      <c r="B72" s="26" t="s">
        <v>157</v>
      </c>
      <c r="C72" s="26" t="s">
        <v>360</v>
      </c>
      <c r="D72" s="12">
        <v>60008427213</v>
      </c>
      <c r="E72" s="30" t="s">
        <v>158</v>
      </c>
      <c r="F72" s="8">
        <f>50.33/2</f>
        <v>25.165</v>
      </c>
      <c r="G72" s="8">
        <f>1.48/2</f>
        <v>0.74</v>
      </c>
      <c r="H72" s="8">
        <f>0.07/2</f>
        <v>0.035</v>
      </c>
      <c r="I72" s="9">
        <f t="shared" si="1"/>
        <v>25.939999999999998</v>
      </c>
    </row>
    <row r="73" spans="1:9" ht="21" customHeight="1">
      <c r="A73" s="27"/>
      <c r="B73" s="26" t="s">
        <v>159</v>
      </c>
      <c r="C73" s="26" t="s">
        <v>361</v>
      </c>
      <c r="D73" s="12">
        <v>60008475541</v>
      </c>
      <c r="E73" s="30" t="s">
        <v>160</v>
      </c>
      <c r="F73" s="8">
        <f>80.02/2</f>
        <v>40.01</v>
      </c>
      <c r="G73" s="8">
        <f>2.37/2</f>
        <v>1.185</v>
      </c>
      <c r="H73" s="8">
        <f>0.07/2</f>
        <v>0.035</v>
      </c>
      <c r="I73" s="9">
        <f t="shared" si="1"/>
        <v>41.23</v>
      </c>
    </row>
    <row r="74" spans="1:9" ht="21" customHeight="1">
      <c r="A74" s="27"/>
      <c r="B74" s="26" t="s">
        <v>161</v>
      </c>
      <c r="C74" s="93"/>
      <c r="D74" s="12">
        <v>60008368817</v>
      </c>
      <c r="E74" s="30" t="s">
        <v>162</v>
      </c>
      <c r="F74" s="8"/>
      <c r="G74" s="8"/>
      <c r="H74" s="8"/>
      <c r="I74" s="9">
        <f t="shared" si="1"/>
        <v>0</v>
      </c>
    </row>
    <row r="75" spans="1:9" ht="21" customHeight="1">
      <c r="A75" s="27"/>
      <c r="B75" s="26" t="s">
        <v>163</v>
      </c>
      <c r="C75" s="26" t="s">
        <v>372</v>
      </c>
      <c r="D75" s="12">
        <v>60091069643</v>
      </c>
      <c r="E75" s="30" t="s">
        <v>164</v>
      </c>
      <c r="F75" s="8"/>
      <c r="G75" s="8"/>
      <c r="H75" s="8"/>
      <c r="I75" s="9">
        <f t="shared" si="1"/>
        <v>0</v>
      </c>
    </row>
    <row r="76" spans="1:9" ht="21" customHeight="1">
      <c r="A76" s="27"/>
      <c r="B76" s="26" t="s">
        <v>165</v>
      </c>
      <c r="C76" s="26" t="s">
        <v>363</v>
      </c>
      <c r="D76" s="12">
        <v>60089709450</v>
      </c>
      <c r="E76" s="30" t="s">
        <v>166</v>
      </c>
      <c r="F76" s="8">
        <f>60.3/2</f>
        <v>30.15</v>
      </c>
      <c r="G76" s="8">
        <f>1.78/2</f>
        <v>0.89</v>
      </c>
      <c r="H76" s="8">
        <f>0.07/2</f>
        <v>0.035</v>
      </c>
      <c r="I76" s="9">
        <f t="shared" si="1"/>
        <v>31.075</v>
      </c>
    </row>
    <row r="77" spans="1:9" ht="21" customHeight="1">
      <c r="A77" s="27"/>
      <c r="B77" s="26" t="s">
        <v>167</v>
      </c>
      <c r="C77" s="26" t="s">
        <v>362</v>
      </c>
      <c r="D77" s="12">
        <v>60089553056</v>
      </c>
      <c r="E77" s="30" t="s">
        <v>168</v>
      </c>
      <c r="F77" s="8">
        <f>530.98/2</f>
        <v>265.49</v>
      </c>
      <c r="G77" s="8">
        <f>15.84/2</f>
        <v>7.92</v>
      </c>
      <c r="H77" s="8">
        <f>0.2/2</f>
        <v>0.1</v>
      </c>
      <c r="I77" s="9">
        <f t="shared" si="1"/>
        <v>273.51000000000005</v>
      </c>
    </row>
    <row r="78" spans="1:9" s="19" customFormat="1" ht="21" customHeight="1">
      <c r="A78" s="27"/>
      <c r="B78" s="26" t="s">
        <v>169</v>
      </c>
      <c r="C78" s="26" t="s">
        <v>364</v>
      </c>
      <c r="D78" s="17">
        <v>60090692774</v>
      </c>
      <c r="E78" s="31" t="s">
        <v>170</v>
      </c>
      <c r="F78" s="18"/>
      <c r="G78" s="18"/>
      <c r="H78" s="18"/>
      <c r="I78" s="9">
        <f t="shared" si="1"/>
        <v>0</v>
      </c>
    </row>
    <row r="79" spans="1:9" ht="21" customHeight="1">
      <c r="A79" s="27"/>
      <c r="B79" s="26" t="s">
        <v>171</v>
      </c>
      <c r="C79" s="93"/>
      <c r="D79" s="12">
        <v>60006579681</v>
      </c>
      <c r="E79" s="30" t="s">
        <v>172</v>
      </c>
      <c r="F79" s="8"/>
      <c r="G79" s="8"/>
      <c r="H79" s="8"/>
      <c r="I79" s="9">
        <f t="shared" si="1"/>
        <v>0</v>
      </c>
    </row>
    <row r="80" spans="1:9" ht="21" customHeight="1">
      <c r="A80" s="27"/>
      <c r="B80" s="26" t="s">
        <v>173</v>
      </c>
      <c r="C80" s="26" t="s">
        <v>333</v>
      </c>
      <c r="D80" s="12">
        <v>60006586696</v>
      </c>
      <c r="E80" s="30" t="s">
        <v>174</v>
      </c>
      <c r="F80" s="8">
        <f>224.19/2</f>
        <v>112.095</v>
      </c>
      <c r="G80" s="8">
        <f>6.63/2</f>
        <v>3.315</v>
      </c>
      <c r="H80" s="8">
        <f>0.21/2</f>
        <v>0.105</v>
      </c>
      <c r="I80" s="9">
        <f t="shared" si="1"/>
        <v>115.515</v>
      </c>
    </row>
    <row r="81" spans="1:9" s="19" customFormat="1" ht="21" customHeight="1">
      <c r="A81" s="27"/>
      <c r="B81" s="26" t="s">
        <v>175</v>
      </c>
      <c r="C81" s="93"/>
      <c r="D81" s="17">
        <v>60006586704</v>
      </c>
      <c r="E81" s="31" t="s">
        <v>176</v>
      </c>
      <c r="F81" s="18">
        <f>28.34/2</f>
        <v>14.17</v>
      </c>
      <c r="G81" s="18">
        <f>0.82/2</f>
        <v>0.41</v>
      </c>
      <c r="H81" s="18">
        <f>0.07/2</f>
        <v>0.035</v>
      </c>
      <c r="I81" s="9">
        <f t="shared" si="1"/>
        <v>14.615</v>
      </c>
    </row>
    <row r="82" spans="1:9" ht="21" customHeight="1">
      <c r="A82" s="27"/>
      <c r="B82" s="26" t="s">
        <v>177</v>
      </c>
      <c r="C82" s="26" t="s">
        <v>370</v>
      </c>
      <c r="D82" s="12">
        <v>60006587652</v>
      </c>
      <c r="E82" s="33" t="s">
        <v>178</v>
      </c>
      <c r="F82" s="15">
        <f>181.93/2</f>
        <v>90.965</v>
      </c>
      <c r="G82" s="15">
        <f>5.37/2</f>
        <v>2.685</v>
      </c>
      <c r="H82" s="15">
        <f>0.2/2</f>
        <v>0.1</v>
      </c>
      <c r="I82" s="9">
        <f t="shared" si="1"/>
        <v>93.75</v>
      </c>
    </row>
    <row r="83" spans="1:9" ht="21" customHeight="1">
      <c r="A83" s="27"/>
      <c r="B83" s="26" t="s">
        <v>179</v>
      </c>
      <c r="C83" s="26" t="s">
        <v>334</v>
      </c>
      <c r="D83" s="12">
        <v>60006587671</v>
      </c>
      <c r="E83" s="30" t="s">
        <v>180</v>
      </c>
      <c r="F83" s="8">
        <f>152.57/2</f>
        <v>76.285</v>
      </c>
      <c r="G83" s="8">
        <f>4.49/2</f>
        <v>2.245</v>
      </c>
      <c r="H83" s="8">
        <f>0.2/2</f>
        <v>0.1</v>
      </c>
      <c r="I83" s="9">
        <f t="shared" si="1"/>
        <v>78.63</v>
      </c>
    </row>
    <row r="84" spans="1:9" ht="21" customHeight="1">
      <c r="A84" s="27"/>
      <c r="B84" s="26" t="s">
        <v>181</v>
      </c>
      <c r="C84" s="26" t="s">
        <v>335</v>
      </c>
      <c r="D84" s="12">
        <v>60006593566</v>
      </c>
      <c r="E84" s="30" t="s">
        <v>182</v>
      </c>
      <c r="F84" s="8">
        <f>112.26/2</f>
        <v>56.13</v>
      </c>
      <c r="G84" s="8">
        <f>3.34/2</f>
        <v>1.67</v>
      </c>
      <c r="H84" s="8">
        <f>0.07/2</f>
        <v>0.035</v>
      </c>
      <c r="I84" s="9">
        <f t="shared" si="1"/>
        <v>57.835</v>
      </c>
    </row>
    <row r="85" spans="1:9" ht="21" customHeight="1">
      <c r="A85" s="27"/>
      <c r="B85" s="26" t="s">
        <v>183</v>
      </c>
      <c r="C85" s="26" t="s">
        <v>336</v>
      </c>
      <c r="D85" s="12">
        <v>60006601563</v>
      </c>
      <c r="E85" s="30" t="s">
        <v>184</v>
      </c>
      <c r="F85" s="8">
        <f>131.79/2</f>
        <v>65.895</v>
      </c>
      <c r="G85" s="8">
        <f>3.95/2</f>
        <v>1.975</v>
      </c>
      <c r="H85" s="8">
        <v>0</v>
      </c>
      <c r="I85" s="9">
        <f t="shared" si="1"/>
        <v>67.86999999999999</v>
      </c>
    </row>
    <row r="86" spans="1:9" ht="21" customHeight="1">
      <c r="A86" s="27"/>
      <c r="B86" s="26" t="s">
        <v>185</v>
      </c>
      <c r="C86" s="26" t="s">
        <v>310</v>
      </c>
      <c r="D86" s="12">
        <v>60006630551</v>
      </c>
      <c r="E86" s="30" t="s">
        <v>186</v>
      </c>
      <c r="F86" s="8">
        <f>222.3/2</f>
        <v>111.15</v>
      </c>
      <c r="G86" s="8">
        <f>6.58/2</f>
        <v>3.29</v>
      </c>
      <c r="H86" s="8">
        <f>0.21/2</f>
        <v>0.105</v>
      </c>
      <c r="I86" s="9">
        <f t="shared" si="1"/>
        <v>114.54500000000002</v>
      </c>
    </row>
    <row r="87" spans="1:9" ht="21" customHeight="1">
      <c r="A87" s="27"/>
      <c r="B87" s="26" t="s">
        <v>187</v>
      </c>
      <c r="C87" s="26" t="s">
        <v>287</v>
      </c>
      <c r="D87" s="12">
        <v>60006631759</v>
      </c>
      <c r="E87" s="30" t="s">
        <v>188</v>
      </c>
      <c r="F87" s="8">
        <f>98.12/2</f>
        <v>49.06</v>
      </c>
      <c r="G87" s="8">
        <f>2.91/2</f>
        <v>1.455</v>
      </c>
      <c r="H87" s="8">
        <f>0.07/2</f>
        <v>0.035</v>
      </c>
      <c r="I87" s="9">
        <f t="shared" si="1"/>
        <v>50.55</v>
      </c>
    </row>
    <row r="88" spans="1:9" ht="21" customHeight="1">
      <c r="A88" s="27"/>
      <c r="B88" s="26" t="s">
        <v>189</v>
      </c>
      <c r="C88" s="26" t="s">
        <v>339</v>
      </c>
      <c r="D88" s="12">
        <v>60006631974</v>
      </c>
      <c r="E88" s="30" t="s">
        <v>190</v>
      </c>
      <c r="F88" s="8"/>
      <c r="G88" s="8"/>
      <c r="H88" s="8"/>
      <c r="I88" s="9">
        <f t="shared" si="1"/>
        <v>0</v>
      </c>
    </row>
    <row r="89" spans="1:9" ht="21" customHeight="1">
      <c r="A89" s="27"/>
      <c r="B89" s="26" t="s">
        <v>191</v>
      </c>
      <c r="C89" s="26" t="s">
        <v>356</v>
      </c>
      <c r="D89" s="12">
        <v>60007843337</v>
      </c>
      <c r="E89" s="30" t="s">
        <v>192</v>
      </c>
      <c r="F89" s="8">
        <f>169.43/2</f>
        <v>84.715</v>
      </c>
      <c r="G89" s="8">
        <f>5.05/2</f>
        <v>2.525</v>
      </c>
      <c r="H89" s="8">
        <f>0.07/2</f>
        <v>0.035</v>
      </c>
      <c r="I89" s="9">
        <f t="shared" si="1"/>
        <v>87.275</v>
      </c>
    </row>
    <row r="90" spans="1:9" ht="21" customHeight="1">
      <c r="A90" s="27"/>
      <c r="B90" s="26" t="s">
        <v>193</v>
      </c>
      <c r="C90" s="26" t="s">
        <v>305</v>
      </c>
      <c r="D90" s="12">
        <v>60006631992</v>
      </c>
      <c r="E90" s="30" t="s">
        <v>194</v>
      </c>
      <c r="F90" s="8"/>
      <c r="G90" s="8"/>
      <c r="H90" s="8"/>
      <c r="I90" s="9">
        <f t="shared" si="1"/>
        <v>0</v>
      </c>
    </row>
    <row r="91" spans="1:9" ht="21" customHeight="1">
      <c r="A91" s="27"/>
      <c r="B91" s="26" t="s">
        <v>195</v>
      </c>
      <c r="C91" s="26" t="s">
        <v>341</v>
      </c>
      <c r="D91" s="12">
        <v>60006632013</v>
      </c>
      <c r="E91" s="30" t="s">
        <v>196</v>
      </c>
      <c r="F91" s="8">
        <f>58.29/2</f>
        <v>29.145</v>
      </c>
      <c r="G91" s="8">
        <f>1.72/2</f>
        <v>0.86</v>
      </c>
      <c r="H91" s="8">
        <f>0.07/2</f>
        <v>0.035</v>
      </c>
      <c r="I91" s="9">
        <f t="shared" si="1"/>
        <v>30.04</v>
      </c>
    </row>
    <row r="92" spans="1:9" ht="21" customHeight="1">
      <c r="A92" s="27"/>
      <c r="B92" s="26" t="s">
        <v>197</v>
      </c>
      <c r="C92" s="26" t="s">
        <v>288</v>
      </c>
      <c r="D92" s="12">
        <v>60006632028</v>
      </c>
      <c r="E92" s="30" t="s">
        <v>198</v>
      </c>
      <c r="F92" s="8">
        <f>444.71/2</f>
        <v>222.355</v>
      </c>
      <c r="G92" s="8">
        <f>13.26/2</f>
        <v>6.63</v>
      </c>
      <c r="H92" s="8">
        <f>0.2/2</f>
        <v>0.1</v>
      </c>
      <c r="I92" s="9">
        <f t="shared" si="1"/>
        <v>229.08499999999998</v>
      </c>
    </row>
    <row r="93" spans="1:9" ht="21" customHeight="1">
      <c r="A93" s="27"/>
      <c r="B93" s="26" t="s">
        <v>199</v>
      </c>
      <c r="C93" s="26" t="s">
        <v>342</v>
      </c>
      <c r="D93" s="12">
        <v>60006632034</v>
      </c>
      <c r="E93" s="30" t="s">
        <v>200</v>
      </c>
      <c r="F93" s="8"/>
      <c r="G93" s="8"/>
      <c r="H93" s="8"/>
      <c r="I93" s="9">
        <f t="shared" si="1"/>
        <v>0</v>
      </c>
    </row>
    <row r="94" spans="1:9" ht="21" customHeight="1">
      <c r="A94" s="27"/>
      <c r="B94" s="26" t="s">
        <v>201</v>
      </c>
      <c r="C94" s="26" t="s">
        <v>343</v>
      </c>
      <c r="D94" s="12">
        <v>60006637176</v>
      </c>
      <c r="E94" s="30" t="s">
        <v>202</v>
      </c>
      <c r="F94" s="8">
        <f>79.06/2</f>
        <v>39.53</v>
      </c>
      <c r="G94" s="8">
        <f>2.37/2</f>
        <v>1.185</v>
      </c>
      <c r="H94" s="8">
        <v>0</v>
      </c>
      <c r="I94" s="9">
        <f t="shared" si="1"/>
        <v>40.715</v>
      </c>
    </row>
    <row r="95" spans="1:9" ht="21" customHeight="1">
      <c r="A95" s="27"/>
      <c r="B95" s="26" t="s">
        <v>203</v>
      </c>
      <c r="C95" s="93"/>
      <c r="D95" s="12">
        <v>60006637235</v>
      </c>
      <c r="E95" s="30" t="s">
        <v>204</v>
      </c>
      <c r="F95" s="8">
        <f>28.99/2</f>
        <v>14.495</v>
      </c>
      <c r="G95" s="8">
        <f>0.84/2</f>
        <v>0.42</v>
      </c>
      <c r="H95" s="8">
        <f>0.07/2</f>
        <v>0.035</v>
      </c>
      <c r="I95" s="9">
        <f t="shared" si="1"/>
        <v>14.95</v>
      </c>
    </row>
    <row r="96" spans="1:9" ht="21" customHeight="1">
      <c r="A96" s="27"/>
      <c r="B96" s="26" t="s">
        <v>205</v>
      </c>
      <c r="C96" s="26" t="s">
        <v>306</v>
      </c>
      <c r="D96" s="12">
        <v>60006637714</v>
      </c>
      <c r="E96" s="30" t="s">
        <v>206</v>
      </c>
      <c r="F96" s="8">
        <f>88.22/2</f>
        <v>44.11</v>
      </c>
      <c r="G96" s="8">
        <f>2.56/2</f>
        <v>1.28</v>
      </c>
      <c r="H96" s="8">
        <f>0.21/2</f>
        <v>0.105</v>
      </c>
      <c r="I96" s="9">
        <f t="shared" si="1"/>
        <v>45.495</v>
      </c>
    </row>
    <row r="97" spans="1:9" ht="21" customHeight="1">
      <c r="A97" s="27"/>
      <c r="B97" s="26" t="s">
        <v>207</v>
      </c>
      <c r="C97" s="93"/>
      <c r="D97" s="12">
        <v>60006642108</v>
      </c>
      <c r="E97" s="30" t="s">
        <v>208</v>
      </c>
      <c r="F97" s="8">
        <f>28.99/2</f>
        <v>14.495</v>
      </c>
      <c r="G97" s="8">
        <f>0.84/2</f>
        <v>0.42</v>
      </c>
      <c r="H97" s="8">
        <f>0.07/2</f>
        <v>0.035</v>
      </c>
      <c r="I97" s="9">
        <f t="shared" si="1"/>
        <v>14.95</v>
      </c>
    </row>
    <row r="98" spans="1:9" ht="21" customHeight="1">
      <c r="A98" s="27"/>
      <c r="B98" s="26" t="s">
        <v>209</v>
      </c>
      <c r="C98" s="93"/>
      <c r="D98" s="12">
        <v>60006642114</v>
      </c>
      <c r="E98" s="30" t="s">
        <v>210</v>
      </c>
      <c r="F98" s="8">
        <f>28.99/2</f>
        <v>14.495</v>
      </c>
      <c r="G98" s="8">
        <f>0.84/2</f>
        <v>0.42</v>
      </c>
      <c r="H98" s="8">
        <f>0.07/2</f>
        <v>0.035</v>
      </c>
      <c r="I98" s="9">
        <f t="shared" si="1"/>
        <v>14.95</v>
      </c>
    </row>
    <row r="99" spans="1:9" ht="21" customHeight="1">
      <c r="A99" s="27"/>
      <c r="B99" s="26" t="s">
        <v>211</v>
      </c>
      <c r="C99" s="26" t="s">
        <v>290</v>
      </c>
      <c r="D99" s="12">
        <v>60006644426</v>
      </c>
      <c r="E99" s="30" t="s">
        <v>212</v>
      </c>
      <c r="F99" s="8"/>
      <c r="G99" s="8"/>
      <c r="H99" s="8"/>
      <c r="I99" s="9">
        <f t="shared" si="1"/>
        <v>0</v>
      </c>
    </row>
    <row r="100" spans="1:9" ht="21" customHeight="1">
      <c r="A100" s="27"/>
      <c r="B100" s="26" t="s">
        <v>213</v>
      </c>
      <c r="C100" s="93"/>
      <c r="D100" s="12">
        <v>60006644431</v>
      </c>
      <c r="E100" s="30" t="s">
        <v>214</v>
      </c>
      <c r="F100" s="8"/>
      <c r="G100" s="8"/>
      <c r="H100" s="8"/>
      <c r="I100" s="9">
        <f t="shared" si="1"/>
        <v>0</v>
      </c>
    </row>
    <row r="101" spans="1:9" ht="21" customHeight="1">
      <c r="A101" s="27"/>
      <c r="B101" s="26" t="s">
        <v>215</v>
      </c>
      <c r="C101" s="26" t="s">
        <v>344</v>
      </c>
      <c r="D101" s="12">
        <v>60006644654</v>
      </c>
      <c r="E101" s="30" t="s">
        <v>216</v>
      </c>
      <c r="F101" s="18">
        <f>49.88/2</f>
        <v>24.94</v>
      </c>
      <c r="G101" s="18">
        <f>1.46/2</f>
        <v>0.73</v>
      </c>
      <c r="H101" s="18">
        <f>0.07/2</f>
        <v>0.035</v>
      </c>
      <c r="I101" s="87">
        <f t="shared" si="1"/>
        <v>25.705000000000002</v>
      </c>
    </row>
    <row r="102" spans="1:9" ht="21" customHeight="1">
      <c r="A102" s="27"/>
      <c r="B102" s="26" t="s">
        <v>217</v>
      </c>
      <c r="C102" s="93"/>
      <c r="D102" s="12">
        <v>60007182237</v>
      </c>
      <c r="E102" s="30" t="s">
        <v>218</v>
      </c>
      <c r="F102" s="8"/>
      <c r="G102" s="8"/>
      <c r="H102" s="8"/>
      <c r="I102" s="9">
        <f t="shared" si="1"/>
        <v>0</v>
      </c>
    </row>
    <row r="103" spans="1:9" ht="21" customHeight="1">
      <c r="A103" s="27"/>
      <c r="B103" s="26" t="s">
        <v>219</v>
      </c>
      <c r="C103" s="26" t="s">
        <v>354</v>
      </c>
      <c r="D103" s="12">
        <v>60007843211</v>
      </c>
      <c r="E103" s="30" t="s">
        <v>220</v>
      </c>
      <c r="F103" s="8"/>
      <c r="G103" s="8"/>
      <c r="H103" s="8"/>
      <c r="I103" s="9">
        <f t="shared" si="1"/>
        <v>0</v>
      </c>
    </row>
    <row r="104" spans="1:9" ht="21" customHeight="1">
      <c r="A104" s="27"/>
      <c r="B104" s="26" t="s">
        <v>221</v>
      </c>
      <c r="C104" s="26" t="s">
        <v>355</v>
      </c>
      <c r="D104" s="12">
        <v>60007843225</v>
      </c>
      <c r="E104" s="30" t="s">
        <v>222</v>
      </c>
      <c r="F104" s="8"/>
      <c r="G104" s="8"/>
      <c r="H104" s="8"/>
      <c r="I104" s="9">
        <f t="shared" si="1"/>
        <v>0</v>
      </c>
    </row>
    <row r="105" spans="1:9" ht="21" customHeight="1">
      <c r="A105" s="27"/>
      <c r="B105" s="26" t="s">
        <v>223</v>
      </c>
      <c r="C105" s="26" t="s">
        <v>347</v>
      </c>
      <c r="D105" s="12">
        <v>60007211343</v>
      </c>
      <c r="E105" s="30" t="s">
        <v>224</v>
      </c>
      <c r="F105" s="8">
        <f>10.19/2</f>
        <v>5.095</v>
      </c>
      <c r="G105" s="8">
        <f>0.31/2</f>
        <v>0.155</v>
      </c>
      <c r="H105" s="8">
        <v>0</v>
      </c>
      <c r="I105" s="9">
        <f t="shared" si="1"/>
        <v>5.25</v>
      </c>
    </row>
    <row r="106" spans="1:9" ht="21" customHeight="1">
      <c r="A106" s="27"/>
      <c r="B106" s="26" t="s">
        <v>225</v>
      </c>
      <c r="C106" s="26" t="s">
        <v>346</v>
      </c>
      <c r="D106" s="12">
        <v>60007211339</v>
      </c>
      <c r="E106" s="30" t="s">
        <v>226</v>
      </c>
      <c r="F106" s="8">
        <f>100.79/2</f>
        <v>50.395</v>
      </c>
      <c r="G106" s="8">
        <f>2.93/2</f>
        <v>1.465</v>
      </c>
      <c r="H106" s="8">
        <f>0.21/2</f>
        <v>0.105</v>
      </c>
      <c r="I106" s="9">
        <f t="shared" si="1"/>
        <v>51.965</v>
      </c>
    </row>
    <row r="107" spans="1:9" ht="21" customHeight="1">
      <c r="A107" s="27"/>
      <c r="B107" s="26" t="s">
        <v>227</v>
      </c>
      <c r="C107" s="26" t="s">
        <v>291</v>
      </c>
      <c r="D107" s="12">
        <v>60007239731</v>
      </c>
      <c r="E107" s="30" t="s">
        <v>228</v>
      </c>
      <c r="F107" s="8">
        <f>215.79/2</f>
        <v>107.895</v>
      </c>
      <c r="G107" s="8">
        <f>6.44/2</f>
        <v>3.22</v>
      </c>
      <c r="H107" s="8">
        <f>0.07/2</f>
        <v>0.035</v>
      </c>
      <c r="I107" s="9">
        <f t="shared" si="1"/>
        <v>111.14999999999999</v>
      </c>
    </row>
    <row r="108" spans="1:9" ht="21" customHeight="1">
      <c r="A108" s="27"/>
      <c r="B108" s="26" t="s">
        <v>229</v>
      </c>
      <c r="C108" s="26" t="s">
        <v>348</v>
      </c>
      <c r="D108" s="12">
        <v>60007483419</v>
      </c>
      <c r="E108" s="30" t="s">
        <v>230</v>
      </c>
      <c r="F108" s="8">
        <f>85.73/2</f>
        <v>42.865</v>
      </c>
      <c r="G108" s="8">
        <f>2.54/2</f>
        <v>1.27</v>
      </c>
      <c r="H108" s="8">
        <f>0.07/2</f>
        <v>0.035</v>
      </c>
      <c r="I108" s="9">
        <f t="shared" si="1"/>
        <v>44.17</v>
      </c>
    </row>
    <row r="109" spans="1:9" ht="21" customHeight="1">
      <c r="A109" s="27"/>
      <c r="B109" s="26" t="s">
        <v>231</v>
      </c>
      <c r="C109" s="26" t="s">
        <v>301</v>
      </c>
      <c r="D109" s="12">
        <v>60006579638</v>
      </c>
      <c r="E109" s="30" t="s">
        <v>232</v>
      </c>
      <c r="F109" s="8"/>
      <c r="G109" s="8"/>
      <c r="H109" s="8"/>
      <c r="I109" s="9">
        <f t="shared" si="1"/>
        <v>0</v>
      </c>
    </row>
    <row r="110" spans="1:9" ht="21" customHeight="1">
      <c r="A110" s="27"/>
      <c r="B110" s="26" t="s">
        <v>233</v>
      </c>
      <c r="C110" s="26" t="s">
        <v>349</v>
      </c>
      <c r="D110" s="12">
        <v>60006579657</v>
      </c>
      <c r="E110" s="30" t="s">
        <v>234</v>
      </c>
      <c r="F110" s="8"/>
      <c r="G110" s="8"/>
      <c r="H110" s="8"/>
      <c r="I110" s="9">
        <f t="shared" si="1"/>
        <v>0</v>
      </c>
    </row>
    <row r="111" spans="1:9" ht="21" customHeight="1">
      <c r="A111" s="27"/>
      <c r="B111" s="26" t="s">
        <v>235</v>
      </c>
      <c r="C111" s="93"/>
      <c r="D111" s="12">
        <v>60006579676</v>
      </c>
      <c r="E111" s="30" t="s">
        <v>236</v>
      </c>
      <c r="F111" s="8"/>
      <c r="G111" s="8"/>
      <c r="H111" s="8"/>
      <c r="I111" s="9">
        <f t="shared" si="1"/>
        <v>0</v>
      </c>
    </row>
    <row r="112" spans="1:9" ht="21" customHeight="1">
      <c r="A112" s="27"/>
      <c r="B112" s="26" t="s">
        <v>237</v>
      </c>
      <c r="C112" s="26" t="s">
        <v>351</v>
      </c>
      <c r="D112" s="12">
        <v>60007631681</v>
      </c>
      <c r="E112" s="30" t="s">
        <v>238</v>
      </c>
      <c r="F112" s="8"/>
      <c r="G112" s="8"/>
      <c r="H112" s="8"/>
      <c r="I112" s="9">
        <f t="shared" si="1"/>
        <v>0</v>
      </c>
    </row>
    <row r="113" spans="1:9" ht="21" customHeight="1">
      <c r="A113" s="27"/>
      <c r="B113" s="26" t="s">
        <v>239</v>
      </c>
      <c r="C113" s="26" t="s">
        <v>357</v>
      </c>
      <c r="D113" s="12">
        <v>60007848373</v>
      </c>
      <c r="E113" s="30" t="s">
        <v>240</v>
      </c>
      <c r="F113" s="8">
        <f>292.44/2</f>
        <v>146.22</v>
      </c>
      <c r="G113" s="8">
        <f>8.69/2</f>
        <v>4.345</v>
      </c>
      <c r="H113" s="8">
        <f>0.2/2</f>
        <v>0.1</v>
      </c>
      <c r="I113" s="9">
        <f t="shared" si="1"/>
        <v>150.665</v>
      </c>
    </row>
    <row r="114" spans="1:9" ht="21" customHeight="1">
      <c r="A114" s="27"/>
      <c r="B114" s="26" t="s">
        <v>241</v>
      </c>
      <c r="C114" s="26" t="s">
        <v>338</v>
      </c>
      <c r="D114" s="12">
        <v>60006631880</v>
      </c>
      <c r="E114" s="30" t="s">
        <v>242</v>
      </c>
      <c r="F114" s="8">
        <f>38.64/2</f>
        <v>19.32</v>
      </c>
      <c r="G114" s="8">
        <f>1.13/2</f>
        <v>0.565</v>
      </c>
      <c r="H114" s="8">
        <f>0.08/2</f>
        <v>0.04</v>
      </c>
      <c r="I114" s="9">
        <f t="shared" si="1"/>
        <v>19.925</v>
      </c>
    </row>
    <row r="115" spans="1:9" ht="21" customHeight="1">
      <c r="A115" s="27"/>
      <c r="B115" s="26" t="s">
        <v>243</v>
      </c>
      <c r="C115" s="26" t="s">
        <v>320</v>
      </c>
      <c r="D115" s="12">
        <v>60006631920</v>
      </c>
      <c r="E115" s="30" t="s">
        <v>244</v>
      </c>
      <c r="F115" s="8">
        <f>85.93/2</f>
        <v>42.965</v>
      </c>
      <c r="G115" s="8">
        <f>2.49/2</f>
        <v>1.245</v>
      </c>
      <c r="H115" s="8">
        <f>0.21/2</f>
        <v>0.105</v>
      </c>
      <c r="I115" s="9">
        <f t="shared" si="1"/>
        <v>44.315</v>
      </c>
    </row>
    <row r="116" spans="1:9" ht="21" customHeight="1">
      <c r="A116" s="27"/>
      <c r="B116" s="26" t="s">
        <v>245</v>
      </c>
      <c r="C116" s="26" t="s">
        <v>340</v>
      </c>
      <c r="D116" s="12">
        <v>60006631987</v>
      </c>
      <c r="E116" s="30" t="s">
        <v>246</v>
      </c>
      <c r="F116" s="8">
        <f>483.24/2</f>
        <v>241.62</v>
      </c>
      <c r="G116" s="8">
        <f>14.41/2</f>
        <v>7.205</v>
      </c>
      <c r="H116" s="8">
        <f>0.21/2</f>
        <v>0.105</v>
      </c>
      <c r="I116" s="9">
        <f t="shared" si="1"/>
        <v>248.93</v>
      </c>
    </row>
    <row r="117" spans="1:9" ht="21" customHeight="1">
      <c r="A117" s="27"/>
      <c r="B117" s="26" t="s">
        <v>247</v>
      </c>
      <c r="C117" s="26" t="s">
        <v>373</v>
      </c>
      <c r="D117" s="12">
        <v>60006632009</v>
      </c>
      <c r="E117" s="30" t="s">
        <v>248</v>
      </c>
      <c r="F117" s="8">
        <f>480.6/2</f>
        <v>240.3</v>
      </c>
      <c r="G117" s="8">
        <f>14.33/2</f>
        <v>7.165</v>
      </c>
      <c r="H117" s="8">
        <f>0.21/2</f>
        <v>0.105</v>
      </c>
      <c r="I117" s="9">
        <f t="shared" si="1"/>
        <v>247.57</v>
      </c>
    </row>
    <row r="118" spans="1:9" ht="21" customHeight="1">
      <c r="A118" s="27"/>
      <c r="B118" s="26" t="s">
        <v>249</v>
      </c>
      <c r="C118" s="26" t="s">
        <v>350</v>
      </c>
      <c r="D118" s="12">
        <v>60007611240</v>
      </c>
      <c r="E118" s="30" t="s">
        <v>250</v>
      </c>
      <c r="F118" s="8">
        <f>432.69/2</f>
        <v>216.345</v>
      </c>
      <c r="G118" s="8">
        <f>12.95/2</f>
        <v>6.475</v>
      </c>
      <c r="H118" s="8">
        <f>0.07/2</f>
        <v>0.035</v>
      </c>
      <c r="I118" s="9">
        <f t="shared" si="1"/>
        <v>222.855</v>
      </c>
    </row>
    <row r="119" spans="1:9" ht="21" customHeight="1">
      <c r="A119" s="27"/>
      <c r="B119" s="26" t="s">
        <v>251</v>
      </c>
      <c r="C119" s="26" t="s">
        <v>337</v>
      </c>
      <c r="D119" s="12">
        <v>60006613294</v>
      </c>
      <c r="E119" s="30" t="s">
        <v>252</v>
      </c>
      <c r="F119" s="8">
        <f>80.19/2</f>
        <v>40.095</v>
      </c>
      <c r="G119" s="8">
        <f>2.41/2</f>
        <v>1.205</v>
      </c>
      <c r="H119" s="8">
        <v>0</v>
      </c>
      <c r="I119" s="9">
        <f t="shared" si="1"/>
        <v>41.3</v>
      </c>
    </row>
    <row r="120" spans="1:9" ht="21" customHeight="1">
      <c r="A120" s="27"/>
      <c r="B120" s="26" t="s">
        <v>253</v>
      </c>
      <c r="C120" s="26" t="s">
        <v>303</v>
      </c>
      <c r="D120" s="12">
        <v>60006631725</v>
      </c>
      <c r="E120" s="30" t="s">
        <v>254</v>
      </c>
      <c r="F120" s="8">
        <f>194.57/2</f>
        <v>97.285</v>
      </c>
      <c r="G120" s="8">
        <f>5.8/2</f>
        <v>2.9</v>
      </c>
      <c r="H120" s="8">
        <f>0.08/2</f>
        <v>0.04</v>
      </c>
      <c r="I120" s="9">
        <f t="shared" si="1"/>
        <v>100.22500000000001</v>
      </c>
    </row>
    <row r="121" spans="1:9" ht="21" customHeight="1">
      <c r="A121" s="27"/>
      <c r="B121" s="26" t="s">
        <v>255</v>
      </c>
      <c r="C121" s="26" t="s">
        <v>304</v>
      </c>
      <c r="D121" s="12">
        <v>60006631818</v>
      </c>
      <c r="E121" s="30" t="s">
        <v>256</v>
      </c>
      <c r="F121" s="8"/>
      <c r="G121" s="8"/>
      <c r="H121" s="8"/>
      <c r="I121" s="9">
        <f t="shared" si="1"/>
        <v>0</v>
      </c>
    </row>
    <row r="122" spans="1:9" ht="21" customHeight="1">
      <c r="A122" s="28"/>
      <c r="B122" s="25" t="s">
        <v>257</v>
      </c>
      <c r="C122" s="95"/>
      <c r="D122" s="14">
        <v>60006631824</v>
      </c>
      <c r="E122" s="45" t="s">
        <v>258</v>
      </c>
      <c r="F122" s="15">
        <f>854.11*0.5</f>
        <v>427.055</v>
      </c>
      <c r="G122" s="15">
        <f>25.54*0.5</f>
        <v>12.77</v>
      </c>
      <c r="H122" s="15">
        <f>0.19*0.5</f>
        <v>0.095</v>
      </c>
      <c r="I122" s="9">
        <f aca="true" t="shared" si="2" ref="I122:I130">SUM(F122:H122)</f>
        <v>439.92</v>
      </c>
    </row>
    <row r="123" spans="1:9" ht="21" customHeight="1">
      <c r="A123" s="28"/>
      <c r="B123" s="25" t="s">
        <v>259</v>
      </c>
      <c r="C123" s="25" t="s">
        <v>345</v>
      </c>
      <c r="D123" s="14">
        <v>60006872372</v>
      </c>
      <c r="E123" s="45" t="s">
        <v>260</v>
      </c>
      <c r="F123" s="15"/>
      <c r="G123" s="15"/>
      <c r="H123" s="15"/>
      <c r="I123" s="9">
        <f t="shared" si="2"/>
        <v>0</v>
      </c>
    </row>
    <row r="124" spans="1:9" ht="21" customHeight="1">
      <c r="A124" s="28"/>
      <c r="B124" s="25" t="s">
        <v>261</v>
      </c>
      <c r="C124" s="25" t="s">
        <v>321</v>
      </c>
      <c r="D124" s="14">
        <v>60006974384</v>
      </c>
      <c r="E124" s="45" t="s">
        <v>262</v>
      </c>
      <c r="F124" s="15">
        <f>123.48/2</f>
        <v>61.74</v>
      </c>
      <c r="G124" s="15">
        <f>3.67/2</f>
        <v>1.835</v>
      </c>
      <c r="H124" s="15">
        <f>0.07/2</f>
        <v>0.035</v>
      </c>
      <c r="I124" s="9">
        <f t="shared" si="2"/>
        <v>63.61</v>
      </c>
    </row>
    <row r="125" spans="1:9" ht="21" customHeight="1">
      <c r="A125" s="28"/>
      <c r="B125" s="25" t="s">
        <v>263</v>
      </c>
      <c r="C125" s="25" t="s">
        <v>368</v>
      </c>
      <c r="D125" s="14">
        <v>60006581324</v>
      </c>
      <c r="E125" s="45" t="s">
        <v>264</v>
      </c>
      <c r="F125" s="15"/>
      <c r="G125" s="15"/>
      <c r="H125" s="15"/>
      <c r="I125" s="9">
        <f t="shared" si="2"/>
        <v>0</v>
      </c>
    </row>
    <row r="126" spans="1:9" ht="21" customHeight="1">
      <c r="A126" s="28"/>
      <c r="B126" s="25" t="s">
        <v>265</v>
      </c>
      <c r="C126" s="25" t="s">
        <v>352</v>
      </c>
      <c r="D126" s="14">
        <v>60007651627</v>
      </c>
      <c r="E126" s="45" t="s">
        <v>266</v>
      </c>
      <c r="F126" s="15"/>
      <c r="G126" s="15"/>
      <c r="H126" s="15"/>
      <c r="I126" s="9">
        <f t="shared" si="2"/>
        <v>0</v>
      </c>
    </row>
    <row r="127" spans="1:9" ht="21" customHeight="1">
      <c r="A127" s="28"/>
      <c r="B127" s="25" t="s">
        <v>267</v>
      </c>
      <c r="C127" s="95"/>
      <c r="D127" s="14">
        <v>83007351147</v>
      </c>
      <c r="E127" s="45" t="s">
        <v>268</v>
      </c>
      <c r="F127" s="15"/>
      <c r="G127" s="15"/>
      <c r="H127" s="15"/>
      <c r="I127" s="9">
        <f t="shared" si="2"/>
        <v>0</v>
      </c>
    </row>
    <row r="128" spans="1:9" ht="21" customHeight="1">
      <c r="A128" s="28"/>
      <c r="B128" s="25" t="s">
        <v>269</v>
      </c>
      <c r="C128" s="25"/>
      <c r="D128" s="14">
        <v>83007705623</v>
      </c>
      <c r="E128" s="45" t="s">
        <v>270</v>
      </c>
      <c r="F128" s="15"/>
      <c r="G128" s="15"/>
      <c r="H128" s="15"/>
      <c r="I128" s="9">
        <f t="shared" si="2"/>
        <v>0</v>
      </c>
    </row>
    <row r="129" spans="1:9" ht="21" customHeight="1">
      <c r="A129" s="28"/>
      <c r="B129" s="25" t="s">
        <v>271</v>
      </c>
      <c r="C129" s="25"/>
      <c r="D129" s="14">
        <v>83007812488</v>
      </c>
      <c r="E129" s="45" t="s">
        <v>272</v>
      </c>
      <c r="F129" s="15"/>
      <c r="G129" s="15"/>
      <c r="H129" s="15"/>
      <c r="I129" s="9">
        <f t="shared" si="2"/>
        <v>0</v>
      </c>
    </row>
    <row r="130" spans="1:9" ht="21" customHeight="1">
      <c r="A130" s="28"/>
      <c r="B130" s="25" t="s">
        <v>273</v>
      </c>
      <c r="C130" s="25"/>
      <c r="D130" s="14">
        <v>83007946440</v>
      </c>
      <c r="E130" s="45" t="s">
        <v>274</v>
      </c>
      <c r="F130" s="15"/>
      <c r="G130" s="15"/>
      <c r="H130" s="15"/>
      <c r="I130" s="9">
        <f t="shared" si="2"/>
        <v>0</v>
      </c>
    </row>
    <row r="131" spans="1:9" ht="21" customHeight="1" thickBot="1">
      <c r="A131" s="10" t="s">
        <v>0</v>
      </c>
      <c r="B131" s="24"/>
      <c r="C131" s="24"/>
      <c r="D131" s="13"/>
      <c r="E131" s="13"/>
      <c r="F131" s="34"/>
      <c r="G131" s="34"/>
      <c r="H131" s="34"/>
      <c r="I131" s="38">
        <f>SUM(I8:I130)</f>
        <v>8850.714999999998</v>
      </c>
    </row>
    <row r="132" ht="13.5" thickTop="1"/>
  </sheetData>
  <sheetProtection/>
  <mergeCells count="3">
    <mergeCell ref="G2:I2"/>
    <mergeCell ref="H3:I3"/>
    <mergeCell ref="G4:I4"/>
  </mergeCells>
  <printOptions horizontalCentered="1" verticalCentered="1"/>
  <pageMargins left="0.7874015748031497" right="0.7874015748031497" top="0.984251968503937" bottom="0.984251968503937" header="0" footer="0"/>
  <pageSetup fitToHeight="2" horizontalDpi="600" verticalDpi="600" orientation="portrait" paperSize="8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131"/>
  <sheetViews>
    <sheetView view="pageBreakPreview" zoomScale="90" zoomScaleSheetLayoutView="90" zoomScalePageLayoutView="0" workbookViewId="0" topLeftCell="A51">
      <selection activeCell="A54" sqref="A54:IV56"/>
    </sheetView>
  </sheetViews>
  <sheetFormatPr defaultColWidth="11.421875" defaultRowHeight="12.75"/>
  <cols>
    <col min="1" max="1" width="15.140625" style="1" customWidth="1"/>
    <col min="2" max="2" width="86.57421875" style="21" customWidth="1"/>
    <col min="3" max="3" width="104.28125" style="21" customWidth="1"/>
    <col min="4" max="4" width="22.57421875" style="1" customWidth="1"/>
    <col min="5" max="5" width="33.7109375" style="1" hidden="1" customWidth="1"/>
    <col min="6" max="6" width="22.57421875" style="2" customWidth="1"/>
    <col min="7" max="7" width="23.421875" style="2" customWidth="1"/>
    <col min="8" max="8" width="19.140625" style="2" customWidth="1"/>
    <col min="9" max="9" width="18.28125" style="52" bestFit="1" customWidth="1"/>
    <col min="10" max="10" width="11.421875" style="1" customWidth="1"/>
    <col min="11" max="11" width="11.57421875" style="1" bestFit="1" customWidth="1"/>
    <col min="12" max="16384" width="11.421875" style="1" customWidth="1"/>
  </cols>
  <sheetData>
    <row r="1" spans="1:8" ht="15.75" customHeight="1">
      <c r="A1" s="52"/>
      <c r="B1" s="54"/>
      <c r="C1" s="54"/>
      <c r="F1" s="52"/>
      <c r="G1" s="52"/>
      <c r="H1" s="52"/>
    </row>
    <row r="2" spans="1:9" ht="42.75" customHeight="1">
      <c r="A2" s="52"/>
      <c r="B2" s="54"/>
      <c r="C2" s="54"/>
      <c r="F2" s="101" t="s">
        <v>116</v>
      </c>
      <c r="G2" s="101"/>
      <c r="H2" s="101"/>
      <c r="I2" s="101"/>
    </row>
    <row r="3" spans="1:9" ht="33.75" customHeight="1">
      <c r="A3" s="52"/>
      <c r="B3" s="54"/>
      <c r="C3" s="54"/>
      <c r="F3" s="52"/>
      <c r="G3" s="100"/>
      <c r="H3" s="100"/>
      <c r="I3" s="100"/>
    </row>
    <row r="4" spans="1:9" ht="21.75" customHeight="1">
      <c r="A4" s="52"/>
      <c r="B4" s="54"/>
      <c r="C4" s="54"/>
      <c r="F4" s="99" t="s">
        <v>118</v>
      </c>
      <c r="G4" s="99"/>
      <c r="H4" s="99"/>
      <c r="I4" s="99"/>
    </row>
    <row r="5" spans="1:8" ht="15.75" customHeight="1">
      <c r="A5" s="52"/>
      <c r="B5" s="54"/>
      <c r="C5" s="54"/>
      <c r="F5" s="52"/>
      <c r="G5" s="52"/>
      <c r="H5" s="52"/>
    </row>
    <row r="6" spans="1:8" ht="15.75" customHeight="1" thickBot="1">
      <c r="A6" s="55"/>
      <c r="B6" s="56"/>
      <c r="C6" s="56"/>
      <c r="D6" s="3"/>
      <c r="E6" s="3"/>
      <c r="F6" s="55"/>
      <c r="G6" s="55"/>
      <c r="H6" s="55"/>
    </row>
    <row r="7" spans="1:9" ht="21" customHeight="1" thickTop="1">
      <c r="A7" s="57" t="s">
        <v>1</v>
      </c>
      <c r="B7" s="58" t="s">
        <v>3</v>
      </c>
      <c r="C7" s="23" t="s">
        <v>285</v>
      </c>
      <c r="D7" s="11" t="s">
        <v>2</v>
      </c>
      <c r="E7" s="16" t="s">
        <v>11</v>
      </c>
      <c r="F7" s="59" t="s">
        <v>4</v>
      </c>
      <c r="G7" s="59" t="s">
        <v>5</v>
      </c>
      <c r="H7" s="73" t="s">
        <v>13</v>
      </c>
      <c r="I7" s="53" t="s">
        <v>0</v>
      </c>
    </row>
    <row r="8" spans="1:9" ht="21" customHeight="1">
      <c r="A8" s="60"/>
      <c r="B8" s="72" t="s">
        <v>15</v>
      </c>
      <c r="C8" s="72" t="s">
        <v>316</v>
      </c>
      <c r="D8" s="12">
        <v>83006884161</v>
      </c>
      <c r="E8" s="30" t="s">
        <v>16</v>
      </c>
      <c r="F8" s="46">
        <v>50</v>
      </c>
      <c r="G8" s="46">
        <v>158</v>
      </c>
      <c r="H8" s="74">
        <v>71</v>
      </c>
      <c r="I8" s="51">
        <f>F8+G8+H8</f>
        <v>279</v>
      </c>
    </row>
    <row r="9" spans="1:9" ht="21" customHeight="1">
      <c r="A9" s="60"/>
      <c r="B9" s="26" t="s">
        <v>17</v>
      </c>
      <c r="C9" s="26" t="s">
        <v>314</v>
      </c>
      <c r="D9" s="12">
        <v>83001699293</v>
      </c>
      <c r="E9" s="30" t="s">
        <v>19</v>
      </c>
      <c r="F9" s="46">
        <v>1564.5</v>
      </c>
      <c r="G9" s="46">
        <v>0</v>
      </c>
      <c r="H9" s="74">
        <v>0</v>
      </c>
      <c r="I9" s="51">
        <f aca="true" t="shared" si="0" ref="I9:I59">F9+G9+H9</f>
        <v>1564.5</v>
      </c>
    </row>
    <row r="10" spans="1:9" ht="21" customHeight="1">
      <c r="A10" s="60"/>
      <c r="B10" s="26" t="s">
        <v>18</v>
      </c>
      <c r="C10" s="26" t="s">
        <v>324</v>
      </c>
      <c r="D10" s="12">
        <v>83002793469</v>
      </c>
      <c r="E10" s="30" t="s">
        <v>20</v>
      </c>
      <c r="F10" s="46">
        <v>1292</v>
      </c>
      <c r="G10" s="46">
        <v>2998</v>
      </c>
      <c r="H10" s="74">
        <v>164</v>
      </c>
      <c r="I10" s="51">
        <f t="shared" si="0"/>
        <v>4454</v>
      </c>
    </row>
    <row r="11" spans="1:9" ht="21" customHeight="1">
      <c r="A11" s="60"/>
      <c r="B11" s="26" t="s">
        <v>21</v>
      </c>
      <c r="C11" s="26" t="s">
        <v>365</v>
      </c>
      <c r="D11" s="12">
        <v>83005319585</v>
      </c>
      <c r="E11" s="30" t="s">
        <v>22</v>
      </c>
      <c r="F11" s="46">
        <v>140</v>
      </c>
      <c r="G11" s="46">
        <v>401</v>
      </c>
      <c r="H11" s="74">
        <v>150</v>
      </c>
      <c r="I11" s="51">
        <f t="shared" si="0"/>
        <v>691</v>
      </c>
    </row>
    <row r="12" spans="1:9" ht="21" customHeight="1">
      <c r="A12" s="60"/>
      <c r="B12" s="26" t="s">
        <v>23</v>
      </c>
      <c r="C12" s="26" t="s">
        <v>325</v>
      </c>
      <c r="D12" s="61">
        <v>999395654431</v>
      </c>
      <c r="E12" s="30" t="s">
        <v>24</v>
      </c>
      <c r="F12" s="46">
        <v>1600</v>
      </c>
      <c r="G12" s="46">
        <v>4080</v>
      </c>
      <c r="H12" s="74">
        <v>1057</v>
      </c>
      <c r="I12" s="51">
        <f t="shared" si="0"/>
        <v>6737</v>
      </c>
    </row>
    <row r="13" spans="1:9" ht="21" customHeight="1">
      <c r="A13" s="60"/>
      <c r="B13" s="26" t="s">
        <v>25</v>
      </c>
      <c r="C13" s="26" t="s">
        <v>315</v>
      </c>
      <c r="D13" s="61">
        <v>999395655454</v>
      </c>
      <c r="E13" s="30" t="s">
        <v>26</v>
      </c>
      <c r="F13" s="46">
        <v>451</v>
      </c>
      <c r="G13" s="46">
        <v>1414</v>
      </c>
      <c r="H13" s="74">
        <v>147</v>
      </c>
      <c r="I13" s="51">
        <f t="shared" si="0"/>
        <v>2012</v>
      </c>
    </row>
    <row r="14" spans="1:9" ht="21" customHeight="1">
      <c r="A14" s="60"/>
      <c r="B14" s="26" t="s">
        <v>27</v>
      </c>
      <c r="C14" s="26" t="s">
        <v>326</v>
      </c>
      <c r="D14" s="61">
        <v>512012286</v>
      </c>
      <c r="E14" s="30" t="s">
        <v>28</v>
      </c>
      <c r="F14" s="46">
        <v>1047</v>
      </c>
      <c r="G14" s="46">
        <v>2675</v>
      </c>
      <c r="H14" s="74">
        <v>511</v>
      </c>
      <c r="I14" s="51">
        <f t="shared" si="0"/>
        <v>4233</v>
      </c>
    </row>
    <row r="15" spans="1:9" ht="21" customHeight="1">
      <c r="A15" s="60"/>
      <c r="B15" s="26" t="s">
        <v>29</v>
      </c>
      <c r="C15" s="26" t="s">
        <v>327</v>
      </c>
      <c r="D15" s="61">
        <v>999395659634</v>
      </c>
      <c r="E15" s="30" t="s">
        <v>30</v>
      </c>
      <c r="F15" s="46">
        <v>402</v>
      </c>
      <c r="G15" s="46">
        <v>1621</v>
      </c>
      <c r="H15" s="74">
        <v>450</v>
      </c>
      <c r="I15" s="51">
        <f t="shared" si="0"/>
        <v>2473</v>
      </c>
    </row>
    <row r="16" spans="1:9" ht="21" customHeight="1">
      <c r="A16" s="60"/>
      <c r="B16" s="26" t="s">
        <v>31</v>
      </c>
      <c r="C16" s="26" t="s">
        <v>317</v>
      </c>
      <c r="D16" s="61">
        <v>999395660462</v>
      </c>
      <c r="E16" s="30" t="s">
        <v>32</v>
      </c>
      <c r="F16" s="46">
        <v>424</v>
      </c>
      <c r="G16" s="46">
        <v>1092</v>
      </c>
      <c r="H16" s="74">
        <v>674</v>
      </c>
      <c r="I16" s="51">
        <f t="shared" si="0"/>
        <v>2190</v>
      </c>
    </row>
    <row r="17" spans="1:9" ht="21" customHeight="1">
      <c r="A17" s="60"/>
      <c r="B17" s="26" t="s">
        <v>33</v>
      </c>
      <c r="C17" s="26" t="s">
        <v>366</v>
      </c>
      <c r="D17" s="61">
        <v>999395662284</v>
      </c>
      <c r="E17" s="30" t="s">
        <v>34</v>
      </c>
      <c r="F17" s="46">
        <v>2175</v>
      </c>
      <c r="G17" s="46">
        <v>5570</v>
      </c>
      <c r="H17" s="74">
        <v>2680</v>
      </c>
      <c r="I17" s="51">
        <f t="shared" si="0"/>
        <v>10425</v>
      </c>
    </row>
    <row r="18" spans="1:9" ht="21" customHeight="1">
      <c r="A18" s="60"/>
      <c r="B18" s="26" t="s">
        <v>35</v>
      </c>
      <c r="C18" s="26" t="s">
        <v>292</v>
      </c>
      <c r="D18" s="61">
        <v>999395662947</v>
      </c>
      <c r="E18" s="30" t="s">
        <v>36</v>
      </c>
      <c r="F18" s="46"/>
      <c r="G18" s="46"/>
      <c r="H18" s="74"/>
      <c r="I18" s="51">
        <f t="shared" si="0"/>
        <v>0</v>
      </c>
    </row>
    <row r="19" spans="1:9" ht="21" customHeight="1">
      <c r="A19" s="60"/>
      <c r="B19" s="26" t="s">
        <v>37</v>
      </c>
      <c r="C19" s="26" t="s">
        <v>369</v>
      </c>
      <c r="D19" s="61">
        <v>999395663410</v>
      </c>
      <c r="E19" s="30" t="s">
        <v>38</v>
      </c>
      <c r="F19" s="46">
        <v>694</v>
      </c>
      <c r="G19" s="46">
        <v>1528</v>
      </c>
      <c r="H19" s="74">
        <v>367</v>
      </c>
      <c r="I19" s="51">
        <f t="shared" si="0"/>
        <v>2589</v>
      </c>
    </row>
    <row r="20" spans="1:9" ht="21" customHeight="1">
      <c r="A20" s="60"/>
      <c r="B20" s="26" t="s">
        <v>39</v>
      </c>
      <c r="C20" s="26" t="s">
        <v>293</v>
      </c>
      <c r="D20" s="61">
        <v>999395665004</v>
      </c>
      <c r="E20" s="30" t="s">
        <v>40</v>
      </c>
      <c r="F20" s="46"/>
      <c r="G20" s="46"/>
      <c r="H20" s="74"/>
      <c r="I20" s="51">
        <f t="shared" si="0"/>
        <v>0</v>
      </c>
    </row>
    <row r="21" spans="1:9" ht="21" customHeight="1">
      <c r="A21" s="60"/>
      <c r="B21" s="26" t="s">
        <v>41</v>
      </c>
      <c r="C21" s="26" t="s">
        <v>367</v>
      </c>
      <c r="D21" s="61">
        <v>999395665500</v>
      </c>
      <c r="E21" s="30" t="s">
        <v>42</v>
      </c>
      <c r="F21" s="46">
        <v>641</v>
      </c>
      <c r="G21" s="46">
        <v>1897</v>
      </c>
      <c r="H21" s="74">
        <v>689</v>
      </c>
      <c r="I21" s="51">
        <f t="shared" si="0"/>
        <v>3227</v>
      </c>
    </row>
    <row r="22" spans="1:9" ht="21" customHeight="1">
      <c r="A22" s="60"/>
      <c r="B22" s="26" t="s">
        <v>43</v>
      </c>
      <c r="C22" s="93"/>
      <c r="D22" s="61">
        <v>999395674678</v>
      </c>
      <c r="E22" s="30" t="s">
        <v>44</v>
      </c>
      <c r="F22" s="46">
        <v>188</v>
      </c>
      <c r="G22" s="46">
        <v>0</v>
      </c>
      <c r="H22" s="74">
        <v>342</v>
      </c>
      <c r="I22" s="51">
        <f>F22+G22+H22</f>
        <v>530</v>
      </c>
    </row>
    <row r="23" spans="1:9" ht="21" customHeight="1">
      <c r="A23" s="60"/>
      <c r="B23" s="26" t="s">
        <v>45</v>
      </c>
      <c r="C23" s="26" t="s">
        <v>307</v>
      </c>
      <c r="D23" s="61">
        <v>999395675751</v>
      </c>
      <c r="E23" s="30" t="s">
        <v>46</v>
      </c>
      <c r="F23" s="46">
        <v>402</v>
      </c>
      <c r="G23" s="46">
        <v>1304</v>
      </c>
      <c r="H23" s="74">
        <v>461</v>
      </c>
      <c r="I23" s="51">
        <f t="shared" si="0"/>
        <v>2167</v>
      </c>
    </row>
    <row r="24" spans="1:9" s="19" customFormat="1" ht="21" customHeight="1">
      <c r="A24" s="60"/>
      <c r="B24" s="26" t="s">
        <v>47</v>
      </c>
      <c r="C24" s="26" t="s">
        <v>318</v>
      </c>
      <c r="D24" s="61">
        <v>999395676257</v>
      </c>
      <c r="E24" s="30" t="s">
        <v>48</v>
      </c>
      <c r="F24" s="46">
        <v>146</v>
      </c>
      <c r="G24" s="46">
        <v>326</v>
      </c>
      <c r="H24" s="74">
        <v>125</v>
      </c>
      <c r="I24" s="51">
        <f t="shared" si="0"/>
        <v>597</v>
      </c>
    </row>
    <row r="25" spans="1:9" s="19" customFormat="1" ht="21" customHeight="1">
      <c r="A25" s="60"/>
      <c r="B25" s="26" t="s">
        <v>49</v>
      </c>
      <c r="C25" s="26" t="s">
        <v>328</v>
      </c>
      <c r="D25" s="61">
        <v>999395676905</v>
      </c>
      <c r="E25" s="30" t="s">
        <v>50</v>
      </c>
      <c r="F25" s="79">
        <v>87</v>
      </c>
      <c r="G25" s="79">
        <v>90</v>
      </c>
      <c r="H25" s="80">
        <v>21</v>
      </c>
      <c r="I25" s="81">
        <f t="shared" si="0"/>
        <v>198</v>
      </c>
    </row>
    <row r="26" spans="1:9" ht="21" customHeight="1">
      <c r="A26" s="60"/>
      <c r="B26" s="26" t="s">
        <v>51</v>
      </c>
      <c r="C26" s="93"/>
      <c r="D26" s="61">
        <v>999395677339</v>
      </c>
      <c r="E26" s="30" t="s">
        <v>52</v>
      </c>
      <c r="F26" s="46">
        <v>910</v>
      </c>
      <c r="G26" s="46">
        <v>943</v>
      </c>
      <c r="H26" s="74">
        <v>5</v>
      </c>
      <c r="I26" s="51">
        <f t="shared" si="0"/>
        <v>1858</v>
      </c>
    </row>
    <row r="27" spans="1:9" ht="21" customHeight="1">
      <c r="A27" s="60"/>
      <c r="B27" s="26" t="s">
        <v>53</v>
      </c>
      <c r="C27" s="93"/>
      <c r="D27" s="61">
        <v>999395680029</v>
      </c>
      <c r="E27" s="30" t="s">
        <v>54</v>
      </c>
      <c r="F27" s="46">
        <v>755</v>
      </c>
      <c r="G27" s="46">
        <v>754</v>
      </c>
      <c r="H27" s="74">
        <v>0</v>
      </c>
      <c r="I27" s="51">
        <f t="shared" si="0"/>
        <v>1509</v>
      </c>
    </row>
    <row r="28" spans="1:9" ht="21" customHeight="1">
      <c r="A28" s="60"/>
      <c r="B28" s="26" t="s">
        <v>55</v>
      </c>
      <c r="C28" s="26" t="s">
        <v>294</v>
      </c>
      <c r="D28" s="61">
        <v>999395682858</v>
      </c>
      <c r="E28" s="30" t="s">
        <v>56</v>
      </c>
      <c r="F28" s="46"/>
      <c r="G28" s="46"/>
      <c r="H28" s="74"/>
      <c r="I28" s="51">
        <f t="shared" si="0"/>
        <v>0</v>
      </c>
    </row>
    <row r="29" spans="1:9" ht="21" customHeight="1">
      <c r="A29" s="60"/>
      <c r="B29" s="26" t="s">
        <v>57</v>
      </c>
      <c r="C29" s="26" t="s">
        <v>295</v>
      </c>
      <c r="D29" s="12">
        <v>512095448</v>
      </c>
      <c r="E29" s="30" t="s">
        <v>58</v>
      </c>
      <c r="F29" s="46"/>
      <c r="G29" s="46"/>
      <c r="H29" s="74"/>
      <c r="I29" s="51">
        <f t="shared" si="0"/>
        <v>0</v>
      </c>
    </row>
    <row r="30" spans="1:9" ht="21" customHeight="1">
      <c r="A30" s="60"/>
      <c r="B30" s="26" t="s">
        <v>59</v>
      </c>
      <c r="C30" s="26" t="s">
        <v>296</v>
      </c>
      <c r="D30" s="61">
        <v>999395695033</v>
      </c>
      <c r="E30" s="30" t="s">
        <v>60</v>
      </c>
      <c r="F30" s="46">
        <v>2461</v>
      </c>
      <c r="G30" s="46">
        <v>0</v>
      </c>
      <c r="H30" s="74">
        <v>0</v>
      </c>
      <c r="I30" s="51">
        <f t="shared" si="0"/>
        <v>2461</v>
      </c>
    </row>
    <row r="31" spans="1:9" ht="21" customHeight="1">
      <c r="A31" s="60"/>
      <c r="B31" s="26" t="s">
        <v>61</v>
      </c>
      <c r="C31" s="26" t="s">
        <v>296</v>
      </c>
      <c r="D31" s="61">
        <v>999395696742</v>
      </c>
      <c r="E31" s="30" t="s">
        <v>62</v>
      </c>
      <c r="F31" s="46">
        <v>4211.5</v>
      </c>
      <c r="G31" s="46">
        <v>0</v>
      </c>
      <c r="H31" s="74">
        <v>0</v>
      </c>
      <c r="I31" s="51">
        <f t="shared" si="0"/>
        <v>4211.5</v>
      </c>
    </row>
    <row r="32" spans="1:9" ht="21" customHeight="1">
      <c r="A32" s="60"/>
      <c r="B32" s="26" t="s">
        <v>63</v>
      </c>
      <c r="C32" s="26" t="s">
        <v>308</v>
      </c>
      <c r="D32" s="61">
        <v>999395697615</v>
      </c>
      <c r="E32" s="30" t="s">
        <v>64</v>
      </c>
      <c r="F32" s="46">
        <f>5352/2</f>
        <v>2676</v>
      </c>
      <c r="G32" s="46">
        <v>0</v>
      </c>
      <c r="H32" s="74">
        <v>0</v>
      </c>
      <c r="I32" s="51">
        <f t="shared" si="0"/>
        <v>2676</v>
      </c>
    </row>
    <row r="33" spans="1:9" ht="21" customHeight="1">
      <c r="A33" s="60"/>
      <c r="B33" s="26" t="s">
        <v>65</v>
      </c>
      <c r="C33" s="26" t="s">
        <v>297</v>
      </c>
      <c r="D33" s="61">
        <v>999395698321</v>
      </c>
      <c r="E33" s="30" t="s">
        <v>66</v>
      </c>
      <c r="F33" s="46">
        <f>4204/2</f>
        <v>2102</v>
      </c>
      <c r="G33" s="46">
        <v>0</v>
      </c>
      <c r="H33" s="74">
        <v>0</v>
      </c>
      <c r="I33" s="51">
        <f t="shared" si="0"/>
        <v>2102</v>
      </c>
    </row>
    <row r="34" spans="1:9" ht="21" customHeight="1">
      <c r="A34" s="60"/>
      <c r="B34" s="26" t="s">
        <v>67</v>
      </c>
      <c r="C34" s="26" t="s">
        <v>309</v>
      </c>
      <c r="D34" s="62">
        <v>999395698661</v>
      </c>
      <c r="E34" s="31" t="s">
        <v>68</v>
      </c>
      <c r="F34" s="47">
        <f>1984/2</f>
        <v>992</v>
      </c>
      <c r="G34" s="47">
        <v>0</v>
      </c>
      <c r="H34" s="75">
        <v>0</v>
      </c>
      <c r="I34" s="51">
        <f t="shared" si="0"/>
        <v>992</v>
      </c>
    </row>
    <row r="35" spans="1:9" s="20" customFormat="1" ht="21" customHeight="1">
      <c r="A35" s="60"/>
      <c r="B35" s="26" t="s">
        <v>69</v>
      </c>
      <c r="C35" s="26"/>
      <c r="D35" s="61">
        <v>999395699042</v>
      </c>
      <c r="E35" s="30" t="s">
        <v>70</v>
      </c>
      <c r="F35" s="46">
        <f>4941/2</f>
        <v>2470.5</v>
      </c>
      <c r="G35" s="46">
        <v>0</v>
      </c>
      <c r="H35" s="74">
        <v>0</v>
      </c>
      <c r="I35" s="51">
        <f t="shared" si="0"/>
        <v>2470.5</v>
      </c>
    </row>
    <row r="36" spans="1:9" ht="21" customHeight="1">
      <c r="A36" s="60"/>
      <c r="B36" s="26" t="s">
        <v>71</v>
      </c>
      <c r="C36" s="93"/>
      <c r="D36" s="61">
        <v>999395699192</v>
      </c>
      <c r="E36" s="30" t="s">
        <v>72</v>
      </c>
      <c r="F36" s="47">
        <f>1989/2</f>
        <v>994.5</v>
      </c>
      <c r="G36" s="47">
        <v>0</v>
      </c>
      <c r="H36" s="75">
        <v>0</v>
      </c>
      <c r="I36" s="92">
        <f t="shared" si="0"/>
        <v>994.5</v>
      </c>
    </row>
    <row r="37" spans="1:9" ht="21" customHeight="1">
      <c r="A37" s="60"/>
      <c r="B37" s="26" t="s">
        <v>73</v>
      </c>
      <c r="C37" s="93"/>
      <c r="D37" s="61">
        <v>999395699382</v>
      </c>
      <c r="E37" s="30" t="s">
        <v>74</v>
      </c>
      <c r="F37" s="46">
        <f>2059/2</f>
        <v>1029.5</v>
      </c>
      <c r="G37" s="46">
        <v>0</v>
      </c>
      <c r="H37" s="74">
        <v>0</v>
      </c>
      <c r="I37" s="51">
        <f t="shared" si="0"/>
        <v>1029.5</v>
      </c>
    </row>
    <row r="38" spans="1:9" ht="21" customHeight="1">
      <c r="A38" s="60"/>
      <c r="B38" s="26" t="s">
        <v>75</v>
      </c>
      <c r="C38" s="26" t="s">
        <v>298</v>
      </c>
      <c r="D38" s="61">
        <v>999395699631</v>
      </c>
      <c r="E38" s="30" t="s">
        <v>76</v>
      </c>
      <c r="F38" s="46">
        <f>299/2</f>
        <v>149.5</v>
      </c>
      <c r="G38" s="46">
        <v>0</v>
      </c>
      <c r="H38" s="74">
        <v>0</v>
      </c>
      <c r="I38" s="51">
        <f t="shared" si="0"/>
        <v>149.5</v>
      </c>
    </row>
    <row r="39" spans="1:9" ht="21" customHeight="1">
      <c r="A39" s="60"/>
      <c r="B39" s="26" t="s">
        <v>77</v>
      </c>
      <c r="C39" s="93"/>
      <c r="D39" s="61">
        <v>999395699855</v>
      </c>
      <c r="E39" s="30" t="s">
        <v>78</v>
      </c>
      <c r="F39" s="46">
        <f>1706/2</f>
        <v>853</v>
      </c>
      <c r="G39" s="46">
        <v>0</v>
      </c>
      <c r="H39" s="74">
        <v>0</v>
      </c>
      <c r="I39" s="51">
        <f t="shared" si="0"/>
        <v>853</v>
      </c>
    </row>
    <row r="40" spans="1:9" ht="21" customHeight="1">
      <c r="A40" s="60"/>
      <c r="B40" s="26" t="s">
        <v>79</v>
      </c>
      <c r="C40" s="26" t="s">
        <v>299</v>
      </c>
      <c r="D40" s="61">
        <v>999395699914</v>
      </c>
      <c r="E40" s="30" t="s">
        <v>80</v>
      </c>
      <c r="F40" s="46">
        <f>3314/2</f>
        <v>1657</v>
      </c>
      <c r="G40" s="46">
        <v>0</v>
      </c>
      <c r="H40" s="74">
        <v>0</v>
      </c>
      <c r="I40" s="51">
        <f t="shared" si="0"/>
        <v>1657</v>
      </c>
    </row>
    <row r="41" spans="1:9" ht="21" customHeight="1">
      <c r="A41" s="60"/>
      <c r="B41" s="26" t="s">
        <v>81</v>
      </c>
      <c r="C41" s="26" t="s">
        <v>329</v>
      </c>
      <c r="D41" s="61">
        <v>999395720675</v>
      </c>
      <c r="E41" s="30" t="s">
        <v>82</v>
      </c>
      <c r="F41" s="46">
        <f>5844/2</f>
        <v>2922</v>
      </c>
      <c r="G41" s="46">
        <v>0</v>
      </c>
      <c r="H41" s="74">
        <v>0</v>
      </c>
      <c r="I41" s="51">
        <f t="shared" si="0"/>
        <v>2922</v>
      </c>
    </row>
    <row r="42" spans="1:9" ht="21" customHeight="1">
      <c r="A42" s="60"/>
      <c r="B42" s="26" t="s">
        <v>83</v>
      </c>
      <c r="C42" s="26" t="s">
        <v>300</v>
      </c>
      <c r="D42" s="61">
        <v>999395721493</v>
      </c>
      <c r="E42" s="30" t="s">
        <v>84</v>
      </c>
      <c r="F42" s="46">
        <f>4746/2</f>
        <v>2373</v>
      </c>
      <c r="G42" s="46">
        <v>0</v>
      </c>
      <c r="H42" s="74">
        <v>0</v>
      </c>
      <c r="I42" s="51">
        <f t="shared" si="0"/>
        <v>2373</v>
      </c>
    </row>
    <row r="43" spans="1:9" ht="21" customHeight="1">
      <c r="A43" s="60"/>
      <c r="B43" s="26" t="s">
        <v>85</v>
      </c>
      <c r="C43" s="26"/>
      <c r="D43" s="61">
        <v>999395728957</v>
      </c>
      <c r="E43" s="30" t="s">
        <v>86</v>
      </c>
      <c r="F43" s="46">
        <v>432</v>
      </c>
      <c r="G43" s="46">
        <v>0</v>
      </c>
      <c r="H43" s="74">
        <v>0</v>
      </c>
      <c r="I43" s="51">
        <f t="shared" si="0"/>
        <v>432</v>
      </c>
    </row>
    <row r="44" spans="1:9" ht="21" customHeight="1">
      <c r="A44" s="60"/>
      <c r="B44" s="26" t="s">
        <v>87</v>
      </c>
      <c r="C44" s="26" t="s">
        <v>330</v>
      </c>
      <c r="D44" s="61">
        <v>999395729357</v>
      </c>
      <c r="E44" s="30" t="s">
        <v>88</v>
      </c>
      <c r="F44" s="46">
        <f>1300/2</f>
        <v>650</v>
      </c>
      <c r="G44" s="46">
        <v>0</v>
      </c>
      <c r="H44" s="74">
        <v>0</v>
      </c>
      <c r="I44" s="51">
        <f t="shared" si="0"/>
        <v>650</v>
      </c>
    </row>
    <row r="45" spans="1:9" ht="21" customHeight="1">
      <c r="A45" s="60"/>
      <c r="B45" s="26" t="s">
        <v>89</v>
      </c>
      <c r="C45" s="93"/>
      <c r="D45" s="61">
        <v>999395729815</v>
      </c>
      <c r="E45" s="30" t="s">
        <v>90</v>
      </c>
      <c r="F45" s="46">
        <f>1032/2</f>
        <v>516</v>
      </c>
      <c r="G45" s="46">
        <v>0</v>
      </c>
      <c r="H45" s="74">
        <v>0</v>
      </c>
      <c r="I45" s="51">
        <f t="shared" si="0"/>
        <v>516</v>
      </c>
    </row>
    <row r="46" spans="1:9" ht="21" customHeight="1">
      <c r="A46" s="60"/>
      <c r="B46" s="26" t="s">
        <v>94</v>
      </c>
      <c r="C46" s="26" t="s">
        <v>331</v>
      </c>
      <c r="D46" s="61">
        <v>999395730546</v>
      </c>
      <c r="E46" s="30" t="s">
        <v>91</v>
      </c>
      <c r="F46" s="46">
        <f>33/2</f>
        <v>16.5</v>
      </c>
      <c r="G46" s="46">
        <v>0</v>
      </c>
      <c r="H46" s="74">
        <v>0</v>
      </c>
      <c r="I46" s="51">
        <f t="shared" si="0"/>
        <v>16.5</v>
      </c>
    </row>
    <row r="47" spans="1:9" ht="21" customHeight="1">
      <c r="A47" s="60"/>
      <c r="B47" s="26" t="s">
        <v>92</v>
      </c>
      <c r="C47" s="26" t="s">
        <v>319</v>
      </c>
      <c r="D47" s="61">
        <v>999395731005</v>
      </c>
      <c r="E47" s="32" t="s">
        <v>93</v>
      </c>
      <c r="F47" s="46">
        <v>974</v>
      </c>
      <c r="G47" s="46">
        <v>0</v>
      </c>
      <c r="H47" s="74">
        <v>0</v>
      </c>
      <c r="I47" s="51">
        <f t="shared" si="0"/>
        <v>974</v>
      </c>
    </row>
    <row r="48" spans="1:9" ht="21" customHeight="1">
      <c r="A48" s="60"/>
      <c r="B48" s="26" t="s">
        <v>95</v>
      </c>
      <c r="C48" s="93"/>
      <c r="D48" s="61">
        <v>999395731797</v>
      </c>
      <c r="E48" s="30" t="s">
        <v>96</v>
      </c>
      <c r="F48" s="46">
        <f>17/2</f>
        <v>8.5</v>
      </c>
      <c r="G48" s="46">
        <v>0</v>
      </c>
      <c r="H48" s="74">
        <v>0</v>
      </c>
      <c r="I48" s="51">
        <f t="shared" si="0"/>
        <v>8.5</v>
      </c>
    </row>
    <row r="49" spans="1:9" ht="21" customHeight="1">
      <c r="A49" s="60"/>
      <c r="B49" s="26" t="s">
        <v>97</v>
      </c>
      <c r="C49" s="26"/>
      <c r="D49" s="61">
        <v>999395850272</v>
      </c>
      <c r="E49" s="30" t="s">
        <v>98</v>
      </c>
      <c r="F49" s="46">
        <v>533</v>
      </c>
      <c r="G49" s="46">
        <v>2059</v>
      </c>
      <c r="H49" s="74">
        <v>3580</v>
      </c>
      <c r="I49" s="51">
        <f t="shared" si="0"/>
        <v>6172</v>
      </c>
    </row>
    <row r="50" spans="1:9" ht="21" customHeight="1">
      <c r="A50" s="60"/>
      <c r="B50" s="26" t="s">
        <v>99</v>
      </c>
      <c r="C50" s="93"/>
      <c r="D50" s="61">
        <v>999395869847</v>
      </c>
      <c r="E50" s="30" t="s">
        <v>100</v>
      </c>
      <c r="F50" s="46">
        <v>1101</v>
      </c>
      <c r="G50" s="46">
        <v>2360</v>
      </c>
      <c r="H50" s="74">
        <v>0</v>
      </c>
      <c r="I50" s="51">
        <f t="shared" si="0"/>
        <v>3461</v>
      </c>
    </row>
    <row r="51" spans="1:9" ht="21" customHeight="1">
      <c r="A51" s="60"/>
      <c r="B51" s="26" t="s">
        <v>101</v>
      </c>
      <c r="C51" s="26" t="s">
        <v>371</v>
      </c>
      <c r="D51" s="12">
        <v>83007836944</v>
      </c>
      <c r="E51" s="30" t="s">
        <v>102</v>
      </c>
      <c r="F51" s="46"/>
      <c r="G51" s="46"/>
      <c r="H51" s="74"/>
      <c r="I51" s="51">
        <f t="shared" si="0"/>
        <v>0</v>
      </c>
    </row>
    <row r="52" spans="1:9" ht="21" customHeight="1">
      <c r="A52" s="60"/>
      <c r="B52" s="26" t="s">
        <v>103</v>
      </c>
      <c r="C52" s="26" t="s">
        <v>286</v>
      </c>
      <c r="D52" s="61">
        <v>999418107083</v>
      </c>
      <c r="E52" s="30" t="s">
        <v>104</v>
      </c>
      <c r="F52" s="46">
        <f>9665/2</f>
        <v>4832.5</v>
      </c>
      <c r="G52" s="46">
        <v>0</v>
      </c>
      <c r="H52" s="74">
        <v>0</v>
      </c>
      <c r="I52" s="51">
        <f t="shared" si="0"/>
        <v>4832.5</v>
      </c>
    </row>
    <row r="53" spans="1:9" ht="21" customHeight="1">
      <c r="A53" s="60"/>
      <c r="B53" s="26" t="s">
        <v>105</v>
      </c>
      <c r="C53" s="26" t="s">
        <v>332</v>
      </c>
      <c r="D53" s="61">
        <v>999418108530</v>
      </c>
      <c r="E53" s="30" t="s">
        <v>106</v>
      </c>
      <c r="F53" s="46">
        <v>414</v>
      </c>
      <c r="G53" s="46">
        <v>1095</v>
      </c>
      <c r="H53" s="74">
        <v>110</v>
      </c>
      <c r="I53" s="51">
        <f t="shared" si="0"/>
        <v>1619</v>
      </c>
    </row>
    <row r="54" spans="1:9" ht="21" customHeight="1">
      <c r="A54" s="60"/>
      <c r="B54" s="26" t="s">
        <v>107</v>
      </c>
      <c r="C54" s="26" t="s">
        <v>302</v>
      </c>
      <c r="D54" s="61">
        <v>999444028261</v>
      </c>
      <c r="E54" s="30" t="s">
        <v>108</v>
      </c>
      <c r="F54" s="46">
        <v>18</v>
      </c>
      <c r="G54" s="46">
        <v>62</v>
      </c>
      <c r="H54" s="74">
        <v>42</v>
      </c>
      <c r="I54" s="51">
        <f t="shared" si="0"/>
        <v>122</v>
      </c>
    </row>
    <row r="55" spans="1:9" ht="21" customHeight="1">
      <c r="A55" s="60"/>
      <c r="B55" s="26" t="s">
        <v>109</v>
      </c>
      <c r="C55" s="26" t="s">
        <v>313</v>
      </c>
      <c r="D55" s="12">
        <v>83000769293</v>
      </c>
      <c r="E55" s="30" t="s">
        <v>110</v>
      </c>
      <c r="F55" s="46">
        <v>404</v>
      </c>
      <c r="G55" s="46">
        <v>855</v>
      </c>
      <c r="H55" s="74">
        <v>129</v>
      </c>
      <c r="I55" s="51">
        <f t="shared" si="0"/>
        <v>1388</v>
      </c>
    </row>
    <row r="56" spans="1:9" s="19" customFormat="1" ht="21" customHeight="1">
      <c r="A56" s="60"/>
      <c r="B56" s="35" t="s">
        <v>125</v>
      </c>
      <c r="C56" s="94"/>
      <c r="D56" s="36">
        <v>60006203645</v>
      </c>
      <c r="E56" s="37" t="s">
        <v>126</v>
      </c>
      <c r="F56" s="46">
        <v>102</v>
      </c>
      <c r="G56" s="46">
        <v>0</v>
      </c>
      <c r="H56" s="48">
        <v>0</v>
      </c>
      <c r="I56" s="51">
        <f t="shared" si="0"/>
        <v>102</v>
      </c>
    </row>
    <row r="57" spans="1:9" s="29" customFormat="1" ht="21" customHeight="1">
      <c r="A57" s="60"/>
      <c r="B57" s="26" t="s">
        <v>127</v>
      </c>
      <c r="C57" s="93"/>
      <c r="D57" s="12">
        <v>60007966411</v>
      </c>
      <c r="E57" s="30" t="s">
        <v>128</v>
      </c>
      <c r="F57" s="46">
        <v>426</v>
      </c>
      <c r="G57" s="46">
        <v>0</v>
      </c>
      <c r="H57" s="74">
        <v>0</v>
      </c>
      <c r="I57" s="51">
        <f t="shared" si="0"/>
        <v>426</v>
      </c>
    </row>
    <row r="58" spans="1:9" ht="21" customHeight="1">
      <c r="A58" s="60"/>
      <c r="B58" s="26" t="s">
        <v>129</v>
      </c>
      <c r="C58" s="26" t="s">
        <v>289</v>
      </c>
      <c r="D58" s="12">
        <v>60006643135</v>
      </c>
      <c r="E58" s="30" t="s">
        <v>130</v>
      </c>
      <c r="F58" s="46">
        <f>615/2</f>
        <v>307.5</v>
      </c>
      <c r="G58" s="46">
        <v>0</v>
      </c>
      <c r="H58" s="74">
        <v>0</v>
      </c>
      <c r="I58" s="51">
        <f t="shared" si="0"/>
        <v>307.5</v>
      </c>
    </row>
    <row r="59" spans="1:9" ht="21" customHeight="1">
      <c r="A59" s="60"/>
      <c r="B59" s="26" t="s">
        <v>131</v>
      </c>
      <c r="C59" s="93"/>
      <c r="D59" s="12">
        <v>60007843244</v>
      </c>
      <c r="E59" s="30" t="s">
        <v>132</v>
      </c>
      <c r="F59" s="46">
        <f>656/2</f>
        <v>328</v>
      </c>
      <c r="G59" s="46">
        <v>0</v>
      </c>
      <c r="H59" s="74">
        <v>0</v>
      </c>
      <c r="I59" s="51">
        <f t="shared" si="0"/>
        <v>328</v>
      </c>
    </row>
    <row r="60" spans="1:9" ht="21" customHeight="1">
      <c r="A60" s="60"/>
      <c r="B60" s="26" t="s">
        <v>133</v>
      </c>
      <c r="C60" s="26" t="s">
        <v>322</v>
      </c>
      <c r="D60" s="12">
        <v>60007843069</v>
      </c>
      <c r="E60" s="30" t="s">
        <v>134</v>
      </c>
      <c r="F60" s="46">
        <f>753/2</f>
        <v>376.5</v>
      </c>
      <c r="G60" s="46">
        <v>0</v>
      </c>
      <c r="H60" s="74">
        <v>0</v>
      </c>
      <c r="I60" s="51">
        <f aca="true" t="shared" si="1" ref="I60:I120">F60+G60+H60</f>
        <v>376.5</v>
      </c>
    </row>
    <row r="61" spans="1:9" ht="21" customHeight="1">
      <c r="A61" s="60"/>
      <c r="B61" s="26" t="s">
        <v>135</v>
      </c>
      <c r="C61" s="26" t="s">
        <v>353</v>
      </c>
      <c r="D61" s="12">
        <v>60007843073</v>
      </c>
      <c r="E61" s="30" t="s">
        <v>136</v>
      </c>
      <c r="F61" s="46">
        <f>430/2</f>
        <v>215</v>
      </c>
      <c r="G61" s="46">
        <v>0</v>
      </c>
      <c r="H61" s="74">
        <v>0</v>
      </c>
      <c r="I61" s="51">
        <f t="shared" si="1"/>
        <v>215</v>
      </c>
    </row>
    <row r="62" spans="1:9" ht="21" customHeight="1">
      <c r="A62" s="60"/>
      <c r="B62" s="26" t="s">
        <v>137</v>
      </c>
      <c r="C62" s="93"/>
      <c r="D62" s="12">
        <v>60007843356</v>
      </c>
      <c r="E62" s="30" t="s">
        <v>138</v>
      </c>
      <c r="F62" s="46">
        <f>165/2</f>
        <v>82.5</v>
      </c>
      <c r="G62" s="46">
        <v>0</v>
      </c>
      <c r="H62" s="74">
        <v>0</v>
      </c>
      <c r="I62" s="51">
        <f t="shared" si="1"/>
        <v>82.5</v>
      </c>
    </row>
    <row r="63" spans="1:9" ht="21" customHeight="1">
      <c r="A63" s="60"/>
      <c r="B63" s="26" t="s">
        <v>139</v>
      </c>
      <c r="C63" s="93"/>
      <c r="D63" s="12">
        <v>60007847274</v>
      </c>
      <c r="E63" s="30" t="s">
        <v>140</v>
      </c>
      <c r="F63" s="46">
        <f>285/2</f>
        <v>142.5</v>
      </c>
      <c r="G63" s="46">
        <v>0</v>
      </c>
      <c r="H63" s="74">
        <v>0</v>
      </c>
      <c r="I63" s="51">
        <f t="shared" si="1"/>
        <v>142.5</v>
      </c>
    </row>
    <row r="64" spans="1:9" ht="21" customHeight="1">
      <c r="A64" s="60"/>
      <c r="B64" s="26" t="s">
        <v>141</v>
      </c>
      <c r="C64" s="93"/>
      <c r="D64" s="12">
        <v>60007847482</v>
      </c>
      <c r="E64" s="30" t="s">
        <v>142</v>
      </c>
      <c r="F64" s="46">
        <v>211</v>
      </c>
      <c r="G64" s="46">
        <v>0</v>
      </c>
      <c r="H64" s="74">
        <v>0</v>
      </c>
      <c r="I64" s="51">
        <f t="shared" si="1"/>
        <v>211</v>
      </c>
    </row>
    <row r="65" spans="1:9" ht="21" customHeight="1">
      <c r="A65" s="60"/>
      <c r="B65" s="26" t="s">
        <v>143</v>
      </c>
      <c r="C65" s="26" t="s">
        <v>323</v>
      </c>
      <c r="D65" s="12">
        <v>60007858040</v>
      </c>
      <c r="E65" s="78" t="s">
        <v>144</v>
      </c>
      <c r="F65" s="46">
        <v>50</v>
      </c>
      <c r="G65" s="46">
        <v>0</v>
      </c>
      <c r="H65" s="74">
        <v>0</v>
      </c>
      <c r="I65" s="51">
        <f t="shared" si="1"/>
        <v>50</v>
      </c>
    </row>
    <row r="66" spans="1:9" ht="21" customHeight="1">
      <c r="A66" s="60"/>
      <c r="B66" s="43" t="s">
        <v>145</v>
      </c>
      <c r="C66" s="43" t="s">
        <v>358</v>
      </c>
      <c r="D66" s="44">
        <v>60007889355</v>
      </c>
      <c r="E66" s="37" t="s">
        <v>146</v>
      </c>
      <c r="F66" s="46">
        <f>289/2</f>
        <v>144.5</v>
      </c>
      <c r="G66" s="46">
        <v>0</v>
      </c>
      <c r="H66" s="74">
        <v>0</v>
      </c>
      <c r="I66" s="51">
        <f t="shared" si="1"/>
        <v>144.5</v>
      </c>
    </row>
    <row r="67" spans="1:9" ht="21" customHeight="1">
      <c r="A67" s="60"/>
      <c r="B67" s="41" t="s">
        <v>147</v>
      </c>
      <c r="C67" s="41" t="s">
        <v>311</v>
      </c>
      <c r="D67" s="40">
        <v>60007899611</v>
      </c>
      <c r="E67" s="42" t="s">
        <v>148</v>
      </c>
      <c r="F67" s="47">
        <v>545</v>
      </c>
      <c r="G67" s="47">
        <v>0</v>
      </c>
      <c r="H67" s="75">
        <v>0</v>
      </c>
      <c r="I67" s="51">
        <f t="shared" si="1"/>
        <v>545</v>
      </c>
    </row>
    <row r="68" spans="1:9" ht="21" customHeight="1">
      <c r="A68" s="60"/>
      <c r="B68" s="26" t="s">
        <v>149</v>
      </c>
      <c r="C68" s="93"/>
      <c r="D68" s="12">
        <v>60008073286</v>
      </c>
      <c r="E68" s="30" t="s">
        <v>150</v>
      </c>
      <c r="F68" s="46">
        <f>-31/2</f>
        <v>-15.5</v>
      </c>
      <c r="G68" s="46">
        <v>0</v>
      </c>
      <c r="H68" s="74">
        <v>0</v>
      </c>
      <c r="I68" s="51">
        <f t="shared" si="1"/>
        <v>-15.5</v>
      </c>
    </row>
    <row r="69" spans="1:9" s="29" customFormat="1" ht="21" customHeight="1">
      <c r="A69" s="60"/>
      <c r="B69" s="26" t="s">
        <v>151</v>
      </c>
      <c r="C69" s="26"/>
      <c r="D69" s="12">
        <v>60008101006</v>
      </c>
      <c r="E69" s="30" t="s">
        <v>152</v>
      </c>
      <c r="F69" s="46">
        <f>6/2</f>
        <v>3</v>
      </c>
      <c r="G69" s="46">
        <v>0</v>
      </c>
      <c r="H69" s="74">
        <v>0</v>
      </c>
      <c r="I69" s="51">
        <f t="shared" si="1"/>
        <v>3</v>
      </c>
    </row>
    <row r="70" spans="1:9" s="29" customFormat="1" ht="21" customHeight="1">
      <c r="A70" s="60"/>
      <c r="B70" s="26" t="s">
        <v>153</v>
      </c>
      <c r="C70" s="26" t="s">
        <v>359</v>
      </c>
      <c r="D70" s="12">
        <v>60008115357</v>
      </c>
      <c r="E70" s="30" t="s">
        <v>154</v>
      </c>
      <c r="F70" s="46">
        <v>358</v>
      </c>
      <c r="G70" s="46">
        <v>0</v>
      </c>
      <c r="H70" s="74">
        <v>0</v>
      </c>
      <c r="I70" s="51">
        <f t="shared" si="1"/>
        <v>358</v>
      </c>
    </row>
    <row r="71" spans="1:9" s="20" customFormat="1" ht="21" customHeight="1">
      <c r="A71" s="60"/>
      <c r="B71" s="26" t="s">
        <v>155</v>
      </c>
      <c r="C71" s="26" t="s">
        <v>312</v>
      </c>
      <c r="D71" s="12">
        <v>60008450632</v>
      </c>
      <c r="E71" s="30" t="s">
        <v>156</v>
      </c>
      <c r="F71" s="46">
        <v>77</v>
      </c>
      <c r="G71" s="46">
        <v>0</v>
      </c>
      <c r="H71" s="74">
        <v>0</v>
      </c>
      <c r="I71" s="51">
        <f t="shared" si="1"/>
        <v>77</v>
      </c>
    </row>
    <row r="72" spans="1:9" ht="21" customHeight="1">
      <c r="A72" s="60"/>
      <c r="B72" s="26" t="s">
        <v>157</v>
      </c>
      <c r="C72" s="26" t="s">
        <v>360</v>
      </c>
      <c r="D72" s="12">
        <v>60008427213</v>
      </c>
      <c r="E72" s="30" t="s">
        <v>158</v>
      </c>
      <c r="F72" s="46">
        <f>147/2</f>
        <v>73.5</v>
      </c>
      <c r="G72" s="46">
        <v>0</v>
      </c>
      <c r="H72" s="74">
        <v>0</v>
      </c>
      <c r="I72" s="51">
        <f t="shared" si="1"/>
        <v>73.5</v>
      </c>
    </row>
    <row r="73" spans="1:9" ht="21" customHeight="1">
      <c r="A73" s="60"/>
      <c r="B73" s="26" t="s">
        <v>159</v>
      </c>
      <c r="C73" s="26" t="s">
        <v>361</v>
      </c>
      <c r="D73" s="12">
        <v>60008475541</v>
      </c>
      <c r="E73" s="30" t="s">
        <v>160</v>
      </c>
      <c r="F73" s="46">
        <f>905/2</f>
        <v>452.5</v>
      </c>
      <c r="G73" s="46">
        <v>0</v>
      </c>
      <c r="H73" s="74">
        <v>0</v>
      </c>
      <c r="I73" s="51">
        <f t="shared" si="1"/>
        <v>452.5</v>
      </c>
    </row>
    <row r="74" spans="1:9" ht="21" customHeight="1">
      <c r="A74" s="60"/>
      <c r="B74" s="26" t="s">
        <v>161</v>
      </c>
      <c r="C74" s="93"/>
      <c r="D74" s="12">
        <v>60008368817</v>
      </c>
      <c r="E74" s="30" t="s">
        <v>162</v>
      </c>
      <c r="F74" s="46">
        <v>119</v>
      </c>
      <c r="G74" s="46">
        <v>0</v>
      </c>
      <c r="H74" s="74">
        <v>0</v>
      </c>
      <c r="I74" s="51">
        <f t="shared" si="1"/>
        <v>119</v>
      </c>
    </row>
    <row r="75" spans="1:9" ht="21" customHeight="1">
      <c r="A75" s="60"/>
      <c r="B75" s="26" t="s">
        <v>163</v>
      </c>
      <c r="C75" s="26" t="s">
        <v>372</v>
      </c>
      <c r="D75" s="12">
        <v>60091069643</v>
      </c>
      <c r="E75" s="30" t="s">
        <v>164</v>
      </c>
      <c r="F75" s="46"/>
      <c r="G75" s="46"/>
      <c r="H75" s="74"/>
      <c r="I75" s="51">
        <f t="shared" si="1"/>
        <v>0</v>
      </c>
    </row>
    <row r="76" spans="1:9" ht="21" customHeight="1">
      <c r="A76" s="60"/>
      <c r="B76" s="26" t="s">
        <v>165</v>
      </c>
      <c r="C76" s="26" t="s">
        <v>363</v>
      </c>
      <c r="D76" s="12">
        <v>60089709450</v>
      </c>
      <c r="E76" s="30" t="s">
        <v>166</v>
      </c>
      <c r="F76" s="46">
        <f>227/2</f>
        <v>113.5</v>
      </c>
      <c r="G76" s="46">
        <v>0</v>
      </c>
      <c r="H76" s="74">
        <v>0</v>
      </c>
      <c r="I76" s="51">
        <f t="shared" si="1"/>
        <v>113.5</v>
      </c>
    </row>
    <row r="77" spans="1:9" ht="21" customHeight="1">
      <c r="A77" s="60"/>
      <c r="B77" s="26" t="s">
        <v>167</v>
      </c>
      <c r="C77" s="26" t="s">
        <v>362</v>
      </c>
      <c r="D77" s="12">
        <v>60089553056</v>
      </c>
      <c r="E77" s="30" t="s">
        <v>168</v>
      </c>
      <c r="F77" s="46">
        <f>3971/2</f>
        <v>1985.5</v>
      </c>
      <c r="G77" s="46">
        <v>0</v>
      </c>
      <c r="H77" s="74">
        <v>0</v>
      </c>
      <c r="I77" s="51">
        <f t="shared" si="1"/>
        <v>1985.5</v>
      </c>
    </row>
    <row r="78" spans="1:9" ht="21" customHeight="1">
      <c r="A78" s="60"/>
      <c r="B78" s="26" t="s">
        <v>169</v>
      </c>
      <c r="C78" s="26" t="s">
        <v>364</v>
      </c>
      <c r="D78" s="17">
        <v>60090692774</v>
      </c>
      <c r="E78" s="31" t="s">
        <v>170</v>
      </c>
      <c r="F78" s="46">
        <v>6</v>
      </c>
      <c r="G78" s="46">
        <v>0</v>
      </c>
      <c r="H78" s="74">
        <v>0</v>
      </c>
      <c r="I78" s="51">
        <f t="shared" si="1"/>
        <v>6</v>
      </c>
    </row>
    <row r="79" spans="1:9" ht="21" customHeight="1">
      <c r="A79" s="60"/>
      <c r="B79" s="26" t="s">
        <v>171</v>
      </c>
      <c r="C79" s="93"/>
      <c r="D79" s="12">
        <v>60006579681</v>
      </c>
      <c r="E79" s="30" t="s">
        <v>172</v>
      </c>
      <c r="F79" s="46">
        <v>39</v>
      </c>
      <c r="G79" s="46">
        <v>0</v>
      </c>
      <c r="H79" s="74">
        <v>0</v>
      </c>
      <c r="I79" s="51">
        <f t="shared" si="1"/>
        <v>39</v>
      </c>
    </row>
    <row r="80" spans="1:9" ht="21" customHeight="1">
      <c r="A80" s="60"/>
      <c r="B80" s="26" t="s">
        <v>173</v>
      </c>
      <c r="C80" s="26" t="s">
        <v>333</v>
      </c>
      <c r="D80" s="12">
        <v>60006586696</v>
      </c>
      <c r="E80" s="30" t="s">
        <v>174</v>
      </c>
      <c r="F80" s="46">
        <f>1123/2</f>
        <v>561.5</v>
      </c>
      <c r="G80" s="46">
        <v>0</v>
      </c>
      <c r="H80" s="74">
        <v>0</v>
      </c>
      <c r="I80" s="51">
        <f t="shared" si="1"/>
        <v>561.5</v>
      </c>
    </row>
    <row r="81" spans="1:9" s="29" customFormat="1" ht="21" customHeight="1">
      <c r="A81" s="60"/>
      <c r="B81" s="26" t="s">
        <v>175</v>
      </c>
      <c r="C81" s="93"/>
      <c r="D81" s="17">
        <v>60006586704</v>
      </c>
      <c r="E81" s="31" t="s">
        <v>176</v>
      </c>
      <c r="F81" s="46">
        <f>151/2</f>
        <v>75.5</v>
      </c>
      <c r="G81" s="46">
        <v>0</v>
      </c>
      <c r="H81" s="74">
        <v>0</v>
      </c>
      <c r="I81" s="51">
        <f t="shared" si="1"/>
        <v>75.5</v>
      </c>
    </row>
    <row r="82" spans="1:9" ht="21" customHeight="1">
      <c r="A82" s="60"/>
      <c r="B82" s="26" t="s">
        <v>177</v>
      </c>
      <c r="C82" s="26" t="s">
        <v>370</v>
      </c>
      <c r="D82" s="12">
        <v>60006587652</v>
      </c>
      <c r="E82" s="33" t="s">
        <v>178</v>
      </c>
      <c r="F82" s="47">
        <f>995/2</f>
        <v>497.5</v>
      </c>
      <c r="G82" s="47">
        <v>0</v>
      </c>
      <c r="H82" s="75">
        <v>0</v>
      </c>
      <c r="I82" s="51">
        <f t="shared" si="1"/>
        <v>497.5</v>
      </c>
    </row>
    <row r="83" spans="1:9" s="20" customFormat="1" ht="21" customHeight="1">
      <c r="A83" s="60"/>
      <c r="B83" s="26" t="s">
        <v>179</v>
      </c>
      <c r="C83" s="26" t="s">
        <v>334</v>
      </c>
      <c r="D83" s="12">
        <v>60006587671</v>
      </c>
      <c r="E83" s="30" t="s">
        <v>180</v>
      </c>
      <c r="F83" s="49">
        <f>832/2</f>
        <v>416</v>
      </c>
      <c r="G83" s="49">
        <v>0</v>
      </c>
      <c r="H83" s="76">
        <v>0</v>
      </c>
      <c r="I83" s="51">
        <f t="shared" si="1"/>
        <v>416</v>
      </c>
    </row>
    <row r="84" spans="1:9" ht="21" customHeight="1">
      <c r="A84" s="60"/>
      <c r="B84" s="26" t="s">
        <v>181</v>
      </c>
      <c r="C84" s="26" t="s">
        <v>335</v>
      </c>
      <c r="D84" s="12">
        <v>60006593566</v>
      </c>
      <c r="E84" s="30" t="s">
        <v>182</v>
      </c>
      <c r="F84" s="46">
        <f>649/2</f>
        <v>324.5</v>
      </c>
      <c r="G84" s="46">
        <v>0</v>
      </c>
      <c r="H84" s="74">
        <v>0</v>
      </c>
      <c r="I84" s="51">
        <f t="shared" si="1"/>
        <v>324.5</v>
      </c>
    </row>
    <row r="85" spans="1:9" ht="21" customHeight="1">
      <c r="A85" s="60"/>
      <c r="B85" s="26" t="s">
        <v>183</v>
      </c>
      <c r="C85" s="26" t="s">
        <v>336</v>
      </c>
      <c r="D85" s="12">
        <v>60006601563</v>
      </c>
      <c r="E85" s="30" t="s">
        <v>184</v>
      </c>
      <c r="F85" s="46">
        <f>836/2</f>
        <v>418</v>
      </c>
      <c r="G85" s="46">
        <v>0</v>
      </c>
      <c r="H85" s="74">
        <v>0</v>
      </c>
      <c r="I85" s="51">
        <f t="shared" si="1"/>
        <v>418</v>
      </c>
    </row>
    <row r="86" spans="1:9" ht="21" customHeight="1">
      <c r="A86" s="60"/>
      <c r="B86" s="26" t="s">
        <v>185</v>
      </c>
      <c r="C86" s="26" t="s">
        <v>310</v>
      </c>
      <c r="D86" s="12">
        <v>60006630551</v>
      </c>
      <c r="E86" s="30" t="s">
        <v>186</v>
      </c>
      <c r="F86" s="46">
        <f>1178/2</f>
        <v>589</v>
      </c>
      <c r="G86" s="46">
        <v>0</v>
      </c>
      <c r="H86" s="74">
        <v>0</v>
      </c>
      <c r="I86" s="51">
        <f t="shared" si="1"/>
        <v>589</v>
      </c>
    </row>
    <row r="87" spans="1:9" s="20" customFormat="1" ht="21" customHeight="1">
      <c r="A87" s="60"/>
      <c r="B87" s="26" t="s">
        <v>187</v>
      </c>
      <c r="C87" s="26" t="s">
        <v>287</v>
      </c>
      <c r="D87" s="12">
        <v>60006631759</v>
      </c>
      <c r="E87" s="30" t="s">
        <v>188</v>
      </c>
      <c r="F87" s="46">
        <f>525/2</f>
        <v>262.5</v>
      </c>
      <c r="G87" s="46">
        <v>0</v>
      </c>
      <c r="H87" s="74">
        <v>0</v>
      </c>
      <c r="I87" s="51">
        <f t="shared" si="1"/>
        <v>262.5</v>
      </c>
    </row>
    <row r="88" spans="1:9" s="29" customFormat="1" ht="21" customHeight="1">
      <c r="A88" s="60"/>
      <c r="B88" s="26" t="s">
        <v>189</v>
      </c>
      <c r="C88" s="26" t="s">
        <v>339</v>
      </c>
      <c r="D88" s="12">
        <v>60006631974</v>
      </c>
      <c r="E88" s="30" t="s">
        <v>190</v>
      </c>
      <c r="F88" s="46">
        <v>1430</v>
      </c>
      <c r="G88" s="46">
        <v>0</v>
      </c>
      <c r="H88" s="74">
        <v>0</v>
      </c>
      <c r="I88" s="51">
        <f t="shared" si="1"/>
        <v>1430</v>
      </c>
    </row>
    <row r="89" spans="1:9" ht="21" customHeight="1">
      <c r="A89" s="60"/>
      <c r="B89" s="26" t="s">
        <v>191</v>
      </c>
      <c r="C89" s="26" t="s">
        <v>356</v>
      </c>
      <c r="D89" s="12">
        <v>60007843337</v>
      </c>
      <c r="E89" s="30" t="s">
        <v>192</v>
      </c>
      <c r="F89" s="46">
        <f>1284/2</f>
        <v>642</v>
      </c>
      <c r="G89" s="46">
        <v>0</v>
      </c>
      <c r="H89" s="74">
        <v>0</v>
      </c>
      <c r="I89" s="51">
        <f t="shared" si="1"/>
        <v>642</v>
      </c>
    </row>
    <row r="90" spans="1:9" ht="21" customHeight="1">
      <c r="A90" s="60"/>
      <c r="B90" s="26" t="s">
        <v>193</v>
      </c>
      <c r="C90" s="26" t="s">
        <v>305</v>
      </c>
      <c r="D90" s="12">
        <v>60006631992</v>
      </c>
      <c r="E90" s="30" t="s">
        <v>194</v>
      </c>
      <c r="F90" s="46">
        <v>2307</v>
      </c>
      <c r="G90" s="46">
        <v>0</v>
      </c>
      <c r="H90" s="74">
        <v>0</v>
      </c>
      <c r="I90" s="51">
        <f t="shared" si="1"/>
        <v>2307</v>
      </c>
    </row>
    <row r="91" spans="1:9" ht="21" customHeight="1">
      <c r="A91" s="60"/>
      <c r="B91" s="26" t="s">
        <v>195</v>
      </c>
      <c r="C91" s="26" t="s">
        <v>341</v>
      </c>
      <c r="D91" s="12">
        <v>60006632013</v>
      </c>
      <c r="E91" s="30" t="s">
        <v>196</v>
      </c>
      <c r="F91" s="46">
        <v>0</v>
      </c>
      <c r="G91" s="46">
        <v>0</v>
      </c>
      <c r="H91" s="74">
        <v>0</v>
      </c>
      <c r="I91" s="51">
        <f t="shared" si="1"/>
        <v>0</v>
      </c>
    </row>
    <row r="92" spans="1:9" ht="21" customHeight="1">
      <c r="A92" s="60"/>
      <c r="B92" s="26" t="s">
        <v>197</v>
      </c>
      <c r="C92" s="26" t="s">
        <v>288</v>
      </c>
      <c r="D92" s="12">
        <v>60006632028</v>
      </c>
      <c r="E92" s="30" t="s">
        <v>198</v>
      </c>
      <c r="F92" s="46">
        <f>4881/2</f>
        <v>2440.5</v>
      </c>
      <c r="G92" s="46">
        <v>0</v>
      </c>
      <c r="H92" s="74">
        <v>0</v>
      </c>
      <c r="I92" s="51">
        <f t="shared" si="1"/>
        <v>2440.5</v>
      </c>
    </row>
    <row r="93" spans="1:9" ht="21" customHeight="1">
      <c r="A93" s="60"/>
      <c r="B93" s="26" t="s">
        <v>199</v>
      </c>
      <c r="C93" s="26" t="s">
        <v>342</v>
      </c>
      <c r="D93" s="12">
        <v>60006632034</v>
      </c>
      <c r="E93" s="30" t="s">
        <v>200</v>
      </c>
      <c r="F93" s="46">
        <v>116</v>
      </c>
      <c r="G93" s="46">
        <v>0</v>
      </c>
      <c r="H93" s="74">
        <v>0</v>
      </c>
      <c r="I93" s="51">
        <f t="shared" si="1"/>
        <v>116</v>
      </c>
    </row>
    <row r="94" spans="1:9" ht="21" customHeight="1">
      <c r="A94" s="60"/>
      <c r="B94" s="26" t="s">
        <v>201</v>
      </c>
      <c r="C94" s="26" t="s">
        <v>343</v>
      </c>
      <c r="D94" s="12">
        <v>60006637176</v>
      </c>
      <c r="E94" s="30" t="s">
        <v>202</v>
      </c>
      <c r="F94" s="46">
        <f>432/2</f>
        <v>216</v>
      </c>
      <c r="G94" s="46">
        <v>0</v>
      </c>
      <c r="H94" s="74">
        <v>0</v>
      </c>
      <c r="I94" s="51">
        <f t="shared" si="1"/>
        <v>216</v>
      </c>
    </row>
    <row r="95" spans="1:9" ht="21" customHeight="1">
      <c r="A95" s="60"/>
      <c r="B95" s="26" t="s">
        <v>203</v>
      </c>
      <c r="C95" s="93"/>
      <c r="D95" s="12">
        <v>60006637235</v>
      </c>
      <c r="E95" s="30" t="s">
        <v>204</v>
      </c>
      <c r="F95" s="46">
        <f>151/2</f>
        <v>75.5</v>
      </c>
      <c r="G95" s="46">
        <v>0</v>
      </c>
      <c r="H95" s="74">
        <v>0</v>
      </c>
      <c r="I95" s="51">
        <f t="shared" si="1"/>
        <v>75.5</v>
      </c>
    </row>
    <row r="96" spans="1:9" ht="21" customHeight="1">
      <c r="A96" s="60"/>
      <c r="B96" s="26" t="s">
        <v>205</v>
      </c>
      <c r="C96" s="26" t="s">
        <v>306</v>
      </c>
      <c r="D96" s="12">
        <v>60006637714</v>
      </c>
      <c r="E96" s="30" t="s">
        <v>206</v>
      </c>
      <c r="F96" s="46">
        <f>354/2</f>
        <v>177</v>
      </c>
      <c r="G96" s="46">
        <v>0</v>
      </c>
      <c r="H96" s="74">
        <v>0</v>
      </c>
      <c r="I96" s="51">
        <f t="shared" si="1"/>
        <v>177</v>
      </c>
    </row>
    <row r="97" spans="1:9" ht="21" customHeight="1">
      <c r="A97" s="60"/>
      <c r="B97" s="26" t="s">
        <v>207</v>
      </c>
      <c r="C97" s="93"/>
      <c r="D97" s="12">
        <v>60006642108</v>
      </c>
      <c r="E97" s="30" t="s">
        <v>208</v>
      </c>
      <c r="F97" s="46">
        <f>151/2</f>
        <v>75.5</v>
      </c>
      <c r="G97" s="46">
        <v>0</v>
      </c>
      <c r="H97" s="74">
        <v>0</v>
      </c>
      <c r="I97" s="51">
        <f t="shared" si="1"/>
        <v>75.5</v>
      </c>
    </row>
    <row r="98" spans="1:9" ht="21" customHeight="1">
      <c r="A98" s="60"/>
      <c r="B98" s="26" t="s">
        <v>209</v>
      </c>
      <c r="C98" s="93"/>
      <c r="D98" s="12">
        <v>60006642114</v>
      </c>
      <c r="E98" s="30" t="s">
        <v>210</v>
      </c>
      <c r="F98" s="46">
        <f>151/2</f>
        <v>75.5</v>
      </c>
      <c r="G98" s="46">
        <v>0</v>
      </c>
      <c r="H98" s="74">
        <v>0</v>
      </c>
      <c r="I98" s="51">
        <f t="shared" si="1"/>
        <v>75.5</v>
      </c>
    </row>
    <row r="99" spans="1:9" ht="21" customHeight="1">
      <c r="A99" s="60"/>
      <c r="B99" s="26" t="s">
        <v>211</v>
      </c>
      <c r="C99" s="26" t="s">
        <v>290</v>
      </c>
      <c r="D99" s="12">
        <v>60006644426</v>
      </c>
      <c r="E99" s="30" t="s">
        <v>212</v>
      </c>
      <c r="F99" s="46">
        <v>446</v>
      </c>
      <c r="G99" s="46">
        <v>0</v>
      </c>
      <c r="H99" s="74">
        <v>0</v>
      </c>
      <c r="I99" s="51">
        <f t="shared" si="1"/>
        <v>446</v>
      </c>
    </row>
    <row r="100" spans="1:9" ht="21" customHeight="1">
      <c r="A100" s="60"/>
      <c r="B100" s="26" t="s">
        <v>213</v>
      </c>
      <c r="C100" s="93"/>
      <c r="D100" s="12">
        <v>60006644431</v>
      </c>
      <c r="E100" s="30" t="s">
        <v>214</v>
      </c>
      <c r="F100" s="46">
        <v>578</v>
      </c>
      <c r="G100" s="46">
        <v>0</v>
      </c>
      <c r="H100" s="74">
        <v>0</v>
      </c>
      <c r="I100" s="51">
        <f t="shared" si="1"/>
        <v>578</v>
      </c>
    </row>
    <row r="101" spans="1:9" ht="21" customHeight="1">
      <c r="A101" s="60"/>
      <c r="B101" s="26" t="s">
        <v>215</v>
      </c>
      <c r="C101" s="26" t="s">
        <v>344</v>
      </c>
      <c r="D101" s="12">
        <v>60006644654</v>
      </c>
      <c r="E101" s="30" t="s">
        <v>216</v>
      </c>
      <c r="F101" s="47">
        <f>190/2</f>
        <v>95</v>
      </c>
      <c r="G101" s="47">
        <v>0</v>
      </c>
      <c r="H101" s="75">
        <v>0</v>
      </c>
      <c r="I101" s="92">
        <f t="shared" si="1"/>
        <v>95</v>
      </c>
    </row>
    <row r="102" spans="1:9" ht="21" customHeight="1">
      <c r="A102" s="60"/>
      <c r="B102" s="26" t="s">
        <v>217</v>
      </c>
      <c r="C102" s="93"/>
      <c r="D102" s="12">
        <v>60007182237</v>
      </c>
      <c r="E102" s="30" t="s">
        <v>218</v>
      </c>
      <c r="F102" s="46"/>
      <c r="G102" s="46"/>
      <c r="H102" s="74"/>
      <c r="I102" s="51">
        <f t="shared" si="1"/>
        <v>0</v>
      </c>
    </row>
    <row r="103" spans="1:9" ht="21" customHeight="1">
      <c r="A103" s="60"/>
      <c r="B103" s="26" t="s">
        <v>219</v>
      </c>
      <c r="C103" s="26" t="s">
        <v>354</v>
      </c>
      <c r="D103" s="12">
        <v>60007843211</v>
      </c>
      <c r="E103" s="30" t="s">
        <v>220</v>
      </c>
      <c r="F103" s="46">
        <v>191</v>
      </c>
      <c r="G103" s="46">
        <v>0</v>
      </c>
      <c r="H103" s="74">
        <v>0</v>
      </c>
      <c r="I103" s="51">
        <f t="shared" si="1"/>
        <v>191</v>
      </c>
    </row>
    <row r="104" spans="1:9" ht="21" customHeight="1">
      <c r="A104" s="60"/>
      <c r="B104" s="26" t="s">
        <v>221</v>
      </c>
      <c r="C104" s="26" t="s">
        <v>355</v>
      </c>
      <c r="D104" s="12">
        <v>60007843225</v>
      </c>
      <c r="E104" s="30" t="s">
        <v>222</v>
      </c>
      <c r="F104" s="46">
        <v>2</v>
      </c>
      <c r="G104" s="46">
        <v>0</v>
      </c>
      <c r="H104" s="74">
        <v>0</v>
      </c>
      <c r="I104" s="51">
        <f t="shared" si="1"/>
        <v>2</v>
      </c>
    </row>
    <row r="105" spans="1:9" ht="21" customHeight="1">
      <c r="A105" s="60"/>
      <c r="B105" s="26" t="s">
        <v>223</v>
      </c>
      <c r="C105" s="26" t="s">
        <v>347</v>
      </c>
      <c r="D105" s="12">
        <v>60007211343</v>
      </c>
      <c r="E105" s="30" t="s">
        <v>224</v>
      </c>
      <c r="F105" s="46">
        <v>0</v>
      </c>
      <c r="G105" s="46">
        <v>0</v>
      </c>
      <c r="H105" s="74">
        <v>0</v>
      </c>
      <c r="I105" s="51">
        <f t="shared" si="1"/>
        <v>0</v>
      </c>
    </row>
    <row r="106" spans="1:9" ht="21" customHeight="1">
      <c r="A106" s="60"/>
      <c r="B106" s="26" t="s">
        <v>225</v>
      </c>
      <c r="C106" s="26" t="s">
        <v>346</v>
      </c>
      <c r="D106" s="12">
        <v>60007211339</v>
      </c>
      <c r="E106" s="30" t="s">
        <v>226</v>
      </c>
      <c r="F106" s="46">
        <f>318/2</f>
        <v>159</v>
      </c>
      <c r="G106" s="46">
        <v>0</v>
      </c>
      <c r="H106" s="74">
        <v>0</v>
      </c>
      <c r="I106" s="51">
        <f t="shared" si="1"/>
        <v>159</v>
      </c>
    </row>
    <row r="107" spans="1:9" ht="21" customHeight="1">
      <c r="A107" s="60"/>
      <c r="B107" s="26" t="s">
        <v>227</v>
      </c>
      <c r="C107" s="26" t="s">
        <v>291</v>
      </c>
      <c r="D107" s="12">
        <v>60007239731</v>
      </c>
      <c r="E107" s="30" t="s">
        <v>228</v>
      </c>
      <c r="F107" s="46">
        <f>2478/2</f>
        <v>1239</v>
      </c>
      <c r="G107" s="46">
        <v>0</v>
      </c>
      <c r="H107" s="74">
        <v>0</v>
      </c>
      <c r="I107" s="51">
        <f t="shared" si="1"/>
        <v>1239</v>
      </c>
    </row>
    <row r="108" spans="1:9" ht="21" customHeight="1">
      <c r="A108" s="60"/>
      <c r="B108" s="26" t="s">
        <v>229</v>
      </c>
      <c r="C108" s="26" t="s">
        <v>348</v>
      </c>
      <c r="D108" s="12">
        <v>60007483419</v>
      </c>
      <c r="E108" s="30" t="s">
        <v>230</v>
      </c>
      <c r="F108" s="46">
        <f>267/2</f>
        <v>133.5</v>
      </c>
      <c r="G108" s="46">
        <v>0</v>
      </c>
      <c r="H108" s="74">
        <v>0</v>
      </c>
      <c r="I108" s="51">
        <f t="shared" si="1"/>
        <v>133.5</v>
      </c>
    </row>
    <row r="109" spans="1:9" ht="21" customHeight="1">
      <c r="A109" s="60"/>
      <c r="B109" s="26" t="s">
        <v>231</v>
      </c>
      <c r="C109" s="26" t="s">
        <v>301</v>
      </c>
      <c r="D109" s="12">
        <v>60006579638</v>
      </c>
      <c r="E109" s="30" t="s">
        <v>232</v>
      </c>
      <c r="F109" s="46">
        <v>1</v>
      </c>
      <c r="G109" s="46">
        <v>0</v>
      </c>
      <c r="H109" s="74">
        <v>0</v>
      </c>
      <c r="I109" s="51">
        <f t="shared" si="1"/>
        <v>1</v>
      </c>
    </row>
    <row r="110" spans="1:9" ht="21" customHeight="1">
      <c r="A110" s="60"/>
      <c r="B110" s="26" t="s">
        <v>233</v>
      </c>
      <c r="C110" s="26" t="s">
        <v>349</v>
      </c>
      <c r="D110" s="12">
        <v>60006579657</v>
      </c>
      <c r="E110" s="30" t="s">
        <v>234</v>
      </c>
      <c r="F110" s="46">
        <v>719</v>
      </c>
      <c r="G110" s="46">
        <v>0</v>
      </c>
      <c r="H110" s="74">
        <v>0</v>
      </c>
      <c r="I110" s="51">
        <f t="shared" si="1"/>
        <v>719</v>
      </c>
    </row>
    <row r="111" spans="1:9" ht="21" customHeight="1">
      <c r="A111" s="60"/>
      <c r="B111" s="26" t="s">
        <v>235</v>
      </c>
      <c r="C111" s="93"/>
      <c r="D111" s="12">
        <v>60006579676</v>
      </c>
      <c r="E111" s="30" t="s">
        <v>236</v>
      </c>
      <c r="F111" s="46">
        <v>10</v>
      </c>
      <c r="G111" s="46">
        <v>0</v>
      </c>
      <c r="H111" s="74">
        <v>0</v>
      </c>
      <c r="I111" s="51">
        <f t="shared" si="1"/>
        <v>10</v>
      </c>
    </row>
    <row r="112" spans="1:9" ht="21" customHeight="1">
      <c r="A112" s="60"/>
      <c r="B112" s="26" t="s">
        <v>237</v>
      </c>
      <c r="C112" s="26" t="s">
        <v>351</v>
      </c>
      <c r="D112" s="12">
        <v>60007631681</v>
      </c>
      <c r="E112" s="30" t="s">
        <v>238</v>
      </c>
      <c r="F112" s="46">
        <v>36</v>
      </c>
      <c r="G112" s="46">
        <v>0</v>
      </c>
      <c r="H112" s="74">
        <v>0</v>
      </c>
      <c r="I112" s="51">
        <f t="shared" si="1"/>
        <v>36</v>
      </c>
    </row>
    <row r="113" spans="1:9" ht="21" customHeight="1">
      <c r="A113" s="60"/>
      <c r="B113" s="26" t="s">
        <v>239</v>
      </c>
      <c r="C113" s="26" t="s">
        <v>357</v>
      </c>
      <c r="D113" s="12">
        <v>60007848373</v>
      </c>
      <c r="E113" s="30" t="s">
        <v>240</v>
      </c>
      <c r="F113" s="46">
        <f>2145/2</f>
        <v>1072.5</v>
      </c>
      <c r="G113" s="46">
        <v>0</v>
      </c>
      <c r="H113" s="74">
        <v>0</v>
      </c>
      <c r="I113" s="51">
        <f t="shared" si="1"/>
        <v>1072.5</v>
      </c>
    </row>
    <row r="114" spans="1:9" ht="21" customHeight="1">
      <c r="A114" s="60"/>
      <c r="B114" s="26" t="s">
        <v>241</v>
      </c>
      <c r="C114" s="26" t="s">
        <v>338</v>
      </c>
      <c r="D114" s="12">
        <v>60006631880</v>
      </c>
      <c r="E114" s="30" t="s">
        <v>242</v>
      </c>
      <c r="F114" s="46">
        <f>123/2</f>
        <v>61.5</v>
      </c>
      <c r="G114" s="46">
        <v>0</v>
      </c>
      <c r="H114" s="74">
        <v>0</v>
      </c>
      <c r="I114" s="51">
        <f t="shared" si="1"/>
        <v>61.5</v>
      </c>
    </row>
    <row r="115" spans="1:9" ht="21" customHeight="1">
      <c r="A115" s="64"/>
      <c r="B115" s="26" t="s">
        <v>243</v>
      </c>
      <c r="C115" s="26" t="s">
        <v>320</v>
      </c>
      <c r="D115" s="12">
        <v>60006631920</v>
      </c>
      <c r="E115" s="30" t="s">
        <v>244</v>
      </c>
      <c r="F115" s="49">
        <f>1274/2</f>
        <v>637</v>
      </c>
      <c r="G115" s="49">
        <v>0</v>
      </c>
      <c r="H115" s="76">
        <v>0</v>
      </c>
      <c r="I115" s="51">
        <f t="shared" si="1"/>
        <v>637</v>
      </c>
    </row>
    <row r="116" spans="1:9" ht="21" customHeight="1">
      <c r="A116" s="64"/>
      <c r="B116" s="26" t="s">
        <v>245</v>
      </c>
      <c r="C116" s="26" t="s">
        <v>340</v>
      </c>
      <c r="D116" s="12">
        <v>60006631987</v>
      </c>
      <c r="E116" s="30" t="s">
        <v>246</v>
      </c>
      <c r="F116" s="49">
        <f>947/2</f>
        <v>473.5</v>
      </c>
      <c r="G116" s="49">
        <v>0</v>
      </c>
      <c r="H116" s="76">
        <v>0</v>
      </c>
      <c r="I116" s="51">
        <f t="shared" si="1"/>
        <v>473.5</v>
      </c>
    </row>
    <row r="117" spans="1:9" ht="21" customHeight="1">
      <c r="A117" s="64"/>
      <c r="B117" s="26" t="s">
        <v>247</v>
      </c>
      <c r="C117" s="26" t="s">
        <v>373</v>
      </c>
      <c r="D117" s="12">
        <v>60006632009</v>
      </c>
      <c r="E117" s="30" t="s">
        <v>248</v>
      </c>
      <c r="F117" s="49">
        <f>4838/2</f>
        <v>2419</v>
      </c>
      <c r="G117" s="49">
        <v>0</v>
      </c>
      <c r="H117" s="76">
        <v>0</v>
      </c>
      <c r="I117" s="51">
        <f t="shared" si="1"/>
        <v>2419</v>
      </c>
    </row>
    <row r="118" spans="1:9" ht="21" customHeight="1">
      <c r="A118" s="64"/>
      <c r="B118" s="26" t="s">
        <v>249</v>
      </c>
      <c r="C118" s="26" t="s">
        <v>350</v>
      </c>
      <c r="D118" s="12">
        <v>60007611240</v>
      </c>
      <c r="E118" s="30" t="s">
        <v>250</v>
      </c>
      <c r="F118" s="49">
        <f>3190/2</f>
        <v>1595</v>
      </c>
      <c r="G118" s="49">
        <v>0</v>
      </c>
      <c r="H118" s="76">
        <v>0</v>
      </c>
      <c r="I118" s="51">
        <f t="shared" si="1"/>
        <v>1595</v>
      </c>
    </row>
    <row r="119" spans="1:9" ht="21" customHeight="1">
      <c r="A119" s="64"/>
      <c r="B119" s="26" t="s">
        <v>251</v>
      </c>
      <c r="C119" s="26" t="s">
        <v>337</v>
      </c>
      <c r="D119" s="12">
        <v>60006613294</v>
      </c>
      <c r="E119" s="30" t="s">
        <v>252</v>
      </c>
      <c r="F119" s="49">
        <f>662/2</f>
        <v>331</v>
      </c>
      <c r="G119" s="49">
        <v>0</v>
      </c>
      <c r="H119" s="76">
        <v>0</v>
      </c>
      <c r="I119" s="51">
        <f t="shared" si="1"/>
        <v>331</v>
      </c>
    </row>
    <row r="120" spans="1:9" ht="21" customHeight="1">
      <c r="A120" s="64"/>
      <c r="B120" s="26" t="s">
        <v>253</v>
      </c>
      <c r="C120" s="26" t="s">
        <v>303</v>
      </c>
      <c r="D120" s="12">
        <v>60006631725</v>
      </c>
      <c r="E120" s="30" t="s">
        <v>254</v>
      </c>
      <c r="F120" s="49">
        <f>1646/2</f>
        <v>823</v>
      </c>
      <c r="G120" s="49">
        <v>0</v>
      </c>
      <c r="H120" s="76">
        <v>0</v>
      </c>
      <c r="I120" s="51">
        <f t="shared" si="1"/>
        <v>823</v>
      </c>
    </row>
    <row r="121" spans="1:9" ht="21" customHeight="1">
      <c r="A121" s="64"/>
      <c r="B121" s="26" t="s">
        <v>255</v>
      </c>
      <c r="C121" s="26" t="s">
        <v>304</v>
      </c>
      <c r="D121" s="12">
        <v>60006631818</v>
      </c>
      <c r="E121" s="30" t="s">
        <v>256</v>
      </c>
      <c r="F121" s="49">
        <f>101*0.75</f>
        <v>75.75</v>
      </c>
      <c r="G121" s="49">
        <v>0</v>
      </c>
      <c r="H121" s="76">
        <v>0</v>
      </c>
      <c r="I121" s="51">
        <f aca="true" t="shared" si="2" ref="I121:I130">F121+G121+H121</f>
        <v>75.75</v>
      </c>
    </row>
    <row r="122" spans="1:9" ht="21" customHeight="1">
      <c r="A122" s="64"/>
      <c r="B122" s="25" t="s">
        <v>257</v>
      </c>
      <c r="C122" s="95"/>
      <c r="D122" s="14">
        <v>60006631824</v>
      </c>
      <c r="E122" s="45" t="s">
        <v>258</v>
      </c>
      <c r="F122" s="49">
        <f>10601*0.5</f>
        <v>5300.5</v>
      </c>
      <c r="G122" s="49">
        <v>0</v>
      </c>
      <c r="H122" s="76">
        <v>0</v>
      </c>
      <c r="I122" s="51">
        <f t="shared" si="2"/>
        <v>5300.5</v>
      </c>
    </row>
    <row r="123" spans="1:9" ht="21" customHeight="1">
      <c r="A123" s="64"/>
      <c r="B123" s="25" t="s">
        <v>259</v>
      </c>
      <c r="C123" s="25" t="s">
        <v>345</v>
      </c>
      <c r="D123" s="14">
        <v>60006872372</v>
      </c>
      <c r="E123" s="45" t="s">
        <v>260</v>
      </c>
      <c r="F123" s="49">
        <v>146</v>
      </c>
      <c r="G123" s="49">
        <v>0</v>
      </c>
      <c r="H123" s="76">
        <v>0</v>
      </c>
      <c r="I123" s="51">
        <f t="shared" si="2"/>
        <v>146</v>
      </c>
    </row>
    <row r="124" spans="1:9" ht="21" customHeight="1">
      <c r="A124" s="64"/>
      <c r="B124" s="25" t="s">
        <v>261</v>
      </c>
      <c r="C124" s="25" t="s">
        <v>321</v>
      </c>
      <c r="D124" s="14">
        <v>60006974384</v>
      </c>
      <c r="E124" s="45" t="s">
        <v>262</v>
      </c>
      <c r="F124" s="49">
        <f>1529/2</f>
        <v>764.5</v>
      </c>
      <c r="G124" s="49">
        <v>0</v>
      </c>
      <c r="H124" s="76">
        <v>0</v>
      </c>
      <c r="I124" s="51">
        <f t="shared" si="2"/>
        <v>764.5</v>
      </c>
    </row>
    <row r="125" spans="1:9" ht="21" customHeight="1">
      <c r="A125" s="64"/>
      <c r="B125" s="25" t="s">
        <v>263</v>
      </c>
      <c r="C125" s="25" t="s">
        <v>368</v>
      </c>
      <c r="D125" s="14">
        <v>60006581324</v>
      </c>
      <c r="E125" s="45" t="s">
        <v>264</v>
      </c>
      <c r="F125" s="49">
        <v>3197</v>
      </c>
      <c r="G125" s="49">
        <v>0</v>
      </c>
      <c r="H125" s="76">
        <v>0</v>
      </c>
      <c r="I125" s="51">
        <f t="shared" si="2"/>
        <v>3197</v>
      </c>
    </row>
    <row r="126" spans="1:9" ht="21" customHeight="1">
      <c r="A126" s="64"/>
      <c r="B126" s="25" t="s">
        <v>265</v>
      </c>
      <c r="C126" s="25" t="s">
        <v>352</v>
      </c>
      <c r="D126" s="14">
        <v>60007651627</v>
      </c>
      <c r="E126" s="45" t="s">
        <v>266</v>
      </c>
      <c r="F126" s="49">
        <v>38</v>
      </c>
      <c r="G126" s="49">
        <v>0</v>
      </c>
      <c r="H126" s="76">
        <v>0</v>
      </c>
      <c r="I126" s="51">
        <f t="shared" si="2"/>
        <v>38</v>
      </c>
    </row>
    <row r="127" spans="1:9" ht="21" customHeight="1">
      <c r="A127" s="64"/>
      <c r="B127" s="25" t="s">
        <v>267</v>
      </c>
      <c r="C127" s="95"/>
      <c r="D127" s="14">
        <v>83007351147</v>
      </c>
      <c r="E127" s="45" t="s">
        <v>268</v>
      </c>
      <c r="F127" s="49">
        <v>11</v>
      </c>
      <c r="G127" s="49">
        <v>0</v>
      </c>
      <c r="H127" s="76">
        <v>0</v>
      </c>
      <c r="I127" s="51">
        <f t="shared" si="2"/>
        <v>11</v>
      </c>
    </row>
    <row r="128" spans="1:9" ht="21" customHeight="1">
      <c r="A128" s="64"/>
      <c r="B128" s="25" t="s">
        <v>269</v>
      </c>
      <c r="C128" s="25"/>
      <c r="D128" s="14">
        <v>83007705623</v>
      </c>
      <c r="E128" s="45" t="s">
        <v>270</v>
      </c>
      <c r="F128" s="49">
        <v>30</v>
      </c>
      <c r="G128" s="49">
        <v>0</v>
      </c>
      <c r="H128" s="76">
        <v>0</v>
      </c>
      <c r="I128" s="51">
        <f t="shared" si="2"/>
        <v>30</v>
      </c>
    </row>
    <row r="129" spans="1:9" ht="21" customHeight="1">
      <c r="A129" s="64"/>
      <c r="B129" s="25" t="s">
        <v>271</v>
      </c>
      <c r="C129" s="25"/>
      <c r="D129" s="14">
        <v>83007812488</v>
      </c>
      <c r="E129" s="45" t="s">
        <v>272</v>
      </c>
      <c r="F129" s="49">
        <f>297/2</f>
        <v>148.5</v>
      </c>
      <c r="G129" s="49">
        <v>0</v>
      </c>
      <c r="H129" s="76">
        <v>0</v>
      </c>
      <c r="I129" s="51">
        <f t="shared" si="2"/>
        <v>148.5</v>
      </c>
    </row>
    <row r="130" spans="1:9" ht="21" customHeight="1">
      <c r="A130" s="64"/>
      <c r="B130" s="25" t="s">
        <v>273</v>
      </c>
      <c r="C130" s="25"/>
      <c r="D130" s="14">
        <v>83007946440</v>
      </c>
      <c r="E130" s="45" t="s">
        <v>274</v>
      </c>
      <c r="F130" s="49"/>
      <c r="G130" s="49"/>
      <c r="H130" s="76"/>
      <c r="I130" s="51">
        <f t="shared" si="2"/>
        <v>0</v>
      </c>
    </row>
    <row r="131" spans="1:9" ht="21" customHeight="1" thickBot="1">
      <c r="A131" s="65" t="s">
        <v>0</v>
      </c>
      <c r="B131" s="66"/>
      <c r="C131" s="66"/>
      <c r="D131" s="13"/>
      <c r="E131" s="13"/>
      <c r="F131" s="69"/>
      <c r="G131" s="69"/>
      <c r="H131" s="77"/>
      <c r="I131" s="70">
        <f>SUM(I8:I130)</f>
        <v>130391.25</v>
      </c>
    </row>
    <row r="132" ht="13.5" thickTop="1"/>
  </sheetData>
  <sheetProtection/>
  <mergeCells count="3">
    <mergeCell ref="F2:I2"/>
    <mergeCell ref="G3:I3"/>
    <mergeCell ref="F4:I4"/>
  </mergeCells>
  <printOptions horizontalCentered="1"/>
  <pageMargins left="0.3937007874015748" right="0.3937007874015748" top="0.5905511811023623" bottom="0.5905511811023623" header="0" footer="0"/>
  <pageSetup fitToHeight="0" fitToWidth="1" horizontalDpi="300" verticalDpi="300" orientation="portrait" paperSize="9" scale="31" r:id="rId1"/>
  <headerFooter alignWithMargins="0">
    <oddHeader>&amp;R&amp;D</oddHeader>
    <oddFooter>&amp;CPágina &amp;P de &amp;N</oddFooter>
  </headerFooter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L131"/>
  <sheetViews>
    <sheetView zoomScale="90" zoomScaleNormal="90" zoomScalePageLayoutView="0" workbookViewId="0" topLeftCell="D119">
      <selection activeCell="A54" sqref="A54:IV56"/>
    </sheetView>
  </sheetViews>
  <sheetFormatPr defaultColWidth="11.421875" defaultRowHeight="12.75"/>
  <cols>
    <col min="1" max="1" width="15.140625" style="1" customWidth="1"/>
    <col min="2" max="2" width="86.57421875" style="21" customWidth="1"/>
    <col min="3" max="3" width="104.421875" style="21" customWidth="1"/>
    <col min="4" max="4" width="23.140625" style="1" customWidth="1"/>
    <col min="5" max="5" width="33.57421875" style="1" hidden="1" customWidth="1"/>
    <col min="6" max="6" width="22.57421875" style="2" customWidth="1"/>
    <col min="7" max="7" width="23.421875" style="2" customWidth="1"/>
    <col min="8" max="8" width="19.140625" style="2" customWidth="1"/>
    <col min="9" max="9" width="18.28125" style="2" bestFit="1" customWidth="1"/>
    <col min="10" max="10" width="11.421875" style="1" customWidth="1"/>
    <col min="11" max="11" width="11.57421875" style="1" bestFit="1" customWidth="1"/>
    <col min="12" max="16384" width="11.421875" style="1" customWidth="1"/>
  </cols>
  <sheetData>
    <row r="1" ht="15.75" customHeight="1"/>
    <row r="2" spans="7:9" ht="42.75" customHeight="1">
      <c r="G2" s="96" t="s">
        <v>9</v>
      </c>
      <c r="H2" s="96"/>
      <c r="I2" s="96"/>
    </row>
    <row r="3" spans="8:9" ht="33.75" customHeight="1">
      <c r="H3" s="97"/>
      <c r="I3" s="97"/>
    </row>
    <row r="4" spans="7:9" ht="21.75" customHeight="1">
      <c r="G4" s="98" t="s">
        <v>119</v>
      </c>
      <c r="H4" s="98"/>
      <c r="I4" s="98"/>
    </row>
    <row r="5" ht="15.75" customHeight="1"/>
    <row r="6" spans="1:8" ht="15.75" customHeight="1" thickBot="1">
      <c r="A6" s="3"/>
      <c r="B6" s="22"/>
      <c r="C6" s="22"/>
      <c r="D6" s="3"/>
      <c r="E6" s="3"/>
      <c r="F6" s="4"/>
      <c r="G6" s="4"/>
      <c r="H6" s="4"/>
    </row>
    <row r="7" spans="1:9" ht="21" customHeight="1" thickTop="1">
      <c r="A7" s="5" t="s">
        <v>1</v>
      </c>
      <c r="B7" s="23" t="s">
        <v>3</v>
      </c>
      <c r="C7" s="23" t="s">
        <v>285</v>
      </c>
      <c r="D7" s="11" t="s">
        <v>2</v>
      </c>
      <c r="E7" s="16" t="s">
        <v>11</v>
      </c>
      <c r="F7" s="6" t="s">
        <v>6</v>
      </c>
      <c r="G7" s="6" t="s">
        <v>7</v>
      </c>
      <c r="H7" s="6" t="s">
        <v>8</v>
      </c>
      <c r="I7" s="7" t="s">
        <v>0</v>
      </c>
    </row>
    <row r="8" spans="1:9" ht="21" customHeight="1">
      <c r="A8" s="27"/>
      <c r="B8" s="72" t="s">
        <v>15</v>
      </c>
      <c r="C8" s="72" t="s">
        <v>316</v>
      </c>
      <c r="D8" s="12">
        <v>83006884161</v>
      </c>
      <c r="E8" s="30" t="s">
        <v>16</v>
      </c>
      <c r="F8" s="8">
        <v>195.08</v>
      </c>
      <c r="G8" s="8">
        <v>5.32</v>
      </c>
      <c r="H8" s="8">
        <v>1.23</v>
      </c>
      <c r="I8" s="9">
        <f aca="true" t="shared" si="0" ref="I8:I58">SUM(F8:H8)</f>
        <v>201.63</v>
      </c>
    </row>
    <row r="9" spans="1:9" ht="21" customHeight="1">
      <c r="A9" s="27"/>
      <c r="B9" s="26" t="s">
        <v>17</v>
      </c>
      <c r="C9" s="26" t="s">
        <v>314</v>
      </c>
      <c r="D9" s="12">
        <v>83001699293</v>
      </c>
      <c r="E9" s="30" t="s">
        <v>19</v>
      </c>
      <c r="F9" s="8">
        <v>325</v>
      </c>
      <c r="G9" s="8">
        <v>9.57</v>
      </c>
      <c r="H9" s="8">
        <v>0.43</v>
      </c>
      <c r="I9" s="9">
        <f t="shared" si="0"/>
        <v>335</v>
      </c>
    </row>
    <row r="10" spans="1:9" ht="21" customHeight="1">
      <c r="A10" s="27"/>
      <c r="B10" s="26" t="s">
        <v>18</v>
      </c>
      <c r="C10" s="26" t="s">
        <v>324</v>
      </c>
      <c r="D10" s="12">
        <v>83002793469</v>
      </c>
      <c r="E10" s="30" t="s">
        <v>20</v>
      </c>
      <c r="F10" s="8">
        <v>1300.42</v>
      </c>
      <c r="G10" s="8">
        <v>37.88</v>
      </c>
      <c r="H10" s="8">
        <v>2.64</v>
      </c>
      <c r="I10" s="9">
        <f t="shared" si="0"/>
        <v>1340.9400000000003</v>
      </c>
    </row>
    <row r="11" spans="1:9" ht="21" customHeight="1">
      <c r="A11" s="27"/>
      <c r="B11" s="26" t="s">
        <v>21</v>
      </c>
      <c r="C11" s="26" t="s">
        <v>365</v>
      </c>
      <c r="D11" s="12">
        <v>83005319585</v>
      </c>
      <c r="E11" s="30" t="s">
        <v>22</v>
      </c>
      <c r="F11" s="8">
        <v>194.95</v>
      </c>
      <c r="G11" s="8">
        <v>5.32</v>
      </c>
      <c r="H11" s="8">
        <v>1.23</v>
      </c>
      <c r="I11" s="9">
        <f t="shared" si="0"/>
        <v>201.49999999999997</v>
      </c>
    </row>
    <row r="12" spans="1:9" ht="21" customHeight="1">
      <c r="A12" s="27"/>
      <c r="B12" s="26" t="s">
        <v>23</v>
      </c>
      <c r="C12" s="26" t="s">
        <v>325</v>
      </c>
      <c r="D12" s="61">
        <v>999395654431</v>
      </c>
      <c r="E12" s="30" t="s">
        <v>24</v>
      </c>
      <c r="F12" s="8">
        <v>1634.84</v>
      </c>
      <c r="G12" s="8">
        <v>47.91</v>
      </c>
      <c r="H12" s="8">
        <v>2.64</v>
      </c>
      <c r="I12" s="9">
        <f t="shared" si="0"/>
        <v>1685.39</v>
      </c>
    </row>
    <row r="13" spans="1:9" ht="21" customHeight="1">
      <c r="A13" s="27"/>
      <c r="B13" s="26" t="s">
        <v>25</v>
      </c>
      <c r="C13" s="26" t="s">
        <v>315</v>
      </c>
      <c r="D13" s="61">
        <v>999395655454</v>
      </c>
      <c r="E13" s="30" t="s">
        <v>26</v>
      </c>
      <c r="F13" s="8">
        <v>680.87</v>
      </c>
      <c r="G13" s="8">
        <v>19.29</v>
      </c>
      <c r="H13" s="8">
        <v>2.64</v>
      </c>
      <c r="I13" s="9">
        <f t="shared" si="0"/>
        <v>702.8</v>
      </c>
    </row>
    <row r="14" spans="1:9" ht="21" customHeight="1">
      <c r="A14" s="27"/>
      <c r="B14" s="26" t="s">
        <v>27</v>
      </c>
      <c r="C14" s="26" t="s">
        <v>326</v>
      </c>
      <c r="D14" s="61">
        <v>512012286</v>
      </c>
      <c r="E14" s="30" t="s">
        <v>28</v>
      </c>
      <c r="F14" s="8">
        <v>1040.96</v>
      </c>
      <c r="G14" s="8">
        <v>30.1</v>
      </c>
      <c r="H14" s="8">
        <v>2.64</v>
      </c>
      <c r="I14" s="9">
        <f t="shared" si="0"/>
        <v>1073.7</v>
      </c>
    </row>
    <row r="15" spans="1:9" ht="21" customHeight="1">
      <c r="A15" s="27"/>
      <c r="B15" s="26" t="s">
        <v>29</v>
      </c>
      <c r="C15" s="26" t="s">
        <v>327</v>
      </c>
      <c r="D15" s="61">
        <v>999395659634</v>
      </c>
      <c r="E15" s="30" t="s">
        <v>30</v>
      </c>
      <c r="F15" s="8">
        <v>1471.47</v>
      </c>
      <c r="G15" s="8">
        <v>43.9</v>
      </c>
      <c r="H15" s="8">
        <v>0.58</v>
      </c>
      <c r="I15" s="9">
        <f t="shared" si="0"/>
        <v>1515.95</v>
      </c>
    </row>
    <row r="16" spans="1:9" ht="21" customHeight="1">
      <c r="A16" s="27"/>
      <c r="B16" s="26" t="s">
        <v>31</v>
      </c>
      <c r="C16" s="26" t="s">
        <v>317</v>
      </c>
      <c r="D16" s="61">
        <v>999395660462</v>
      </c>
      <c r="E16" s="30" t="s">
        <v>32</v>
      </c>
      <c r="F16" s="8">
        <v>375.52</v>
      </c>
      <c r="G16" s="8">
        <v>10.74</v>
      </c>
      <c r="H16" s="8">
        <v>1.23</v>
      </c>
      <c r="I16" s="9">
        <f t="shared" si="0"/>
        <v>387.49</v>
      </c>
    </row>
    <row r="17" spans="1:9" ht="21" customHeight="1">
      <c r="A17" s="27"/>
      <c r="B17" s="26" t="s">
        <v>33</v>
      </c>
      <c r="C17" s="26" t="s">
        <v>366</v>
      </c>
      <c r="D17" s="61">
        <v>999395662284</v>
      </c>
      <c r="E17" s="30" t="s">
        <v>34</v>
      </c>
      <c r="F17" s="8">
        <v>1286.54</v>
      </c>
      <c r="G17" s="8">
        <v>38.07</v>
      </c>
      <c r="H17" s="8">
        <v>1.23</v>
      </c>
      <c r="I17" s="9">
        <f t="shared" si="0"/>
        <v>1325.84</v>
      </c>
    </row>
    <row r="18" spans="1:9" ht="21" customHeight="1">
      <c r="A18" s="27"/>
      <c r="B18" s="26" t="s">
        <v>35</v>
      </c>
      <c r="C18" s="26" t="s">
        <v>292</v>
      </c>
      <c r="D18" s="61">
        <v>999395662947</v>
      </c>
      <c r="E18" s="30" t="s">
        <v>36</v>
      </c>
      <c r="F18" s="8"/>
      <c r="G18" s="8"/>
      <c r="H18" s="8"/>
      <c r="I18" s="9">
        <f t="shared" si="0"/>
        <v>0</v>
      </c>
    </row>
    <row r="19" spans="1:9" ht="21" customHeight="1">
      <c r="A19" s="27"/>
      <c r="B19" s="26" t="s">
        <v>37</v>
      </c>
      <c r="C19" s="26" t="s">
        <v>369</v>
      </c>
      <c r="D19" s="61">
        <v>999395663410</v>
      </c>
      <c r="E19" s="30" t="s">
        <v>38</v>
      </c>
      <c r="F19" s="8">
        <v>459.06</v>
      </c>
      <c r="G19" s="8">
        <v>13.24</v>
      </c>
      <c r="H19" s="8">
        <v>1.23</v>
      </c>
      <c r="I19" s="9">
        <f t="shared" si="0"/>
        <v>473.53000000000003</v>
      </c>
    </row>
    <row r="20" spans="1:9" ht="21" customHeight="1">
      <c r="A20" s="27"/>
      <c r="B20" s="26" t="s">
        <v>39</v>
      </c>
      <c r="C20" s="26" t="s">
        <v>293</v>
      </c>
      <c r="D20" s="61">
        <v>999395665004</v>
      </c>
      <c r="E20" s="30" t="s">
        <v>40</v>
      </c>
      <c r="F20" s="8"/>
      <c r="G20" s="8"/>
      <c r="H20" s="8"/>
      <c r="I20" s="9">
        <f t="shared" si="0"/>
        <v>0</v>
      </c>
    </row>
    <row r="21" spans="1:9" ht="21" customHeight="1">
      <c r="A21" s="27"/>
      <c r="B21" s="26" t="s">
        <v>41</v>
      </c>
      <c r="C21" s="26" t="s">
        <v>367</v>
      </c>
      <c r="D21" s="61">
        <v>999395665500</v>
      </c>
      <c r="E21" s="30" t="s">
        <v>42</v>
      </c>
      <c r="F21" s="8">
        <v>556.51</v>
      </c>
      <c r="G21" s="8">
        <v>16.17</v>
      </c>
      <c r="H21" s="8">
        <v>1.23</v>
      </c>
      <c r="I21" s="9">
        <f t="shared" si="0"/>
        <v>573.91</v>
      </c>
    </row>
    <row r="22" spans="1:9" ht="21" customHeight="1">
      <c r="A22" s="27"/>
      <c r="B22" s="26" t="s">
        <v>43</v>
      </c>
      <c r="C22" s="93"/>
      <c r="D22" s="61">
        <v>999395674678</v>
      </c>
      <c r="E22" s="30" t="s">
        <v>44</v>
      </c>
      <c r="F22" s="8">
        <v>182.46</v>
      </c>
      <c r="G22" s="8">
        <v>4.91</v>
      </c>
      <c r="H22" s="8">
        <v>1.32</v>
      </c>
      <c r="I22" s="9">
        <f t="shared" si="0"/>
        <v>188.69</v>
      </c>
    </row>
    <row r="23" spans="1:9" ht="21" customHeight="1">
      <c r="A23" s="27"/>
      <c r="B23" s="26" t="s">
        <v>45</v>
      </c>
      <c r="C23" s="26" t="s">
        <v>307</v>
      </c>
      <c r="D23" s="61">
        <v>999395675751</v>
      </c>
      <c r="E23" s="30" t="s">
        <v>46</v>
      </c>
      <c r="F23" s="8">
        <v>341.46</v>
      </c>
      <c r="G23" s="8">
        <v>9.72</v>
      </c>
      <c r="H23" s="8">
        <v>1.23</v>
      </c>
      <c r="I23" s="9">
        <f t="shared" si="0"/>
        <v>352.41</v>
      </c>
    </row>
    <row r="24" spans="1:9" s="19" customFormat="1" ht="21" customHeight="1">
      <c r="A24" s="27"/>
      <c r="B24" s="26" t="s">
        <v>47</v>
      </c>
      <c r="C24" s="26" t="s">
        <v>318</v>
      </c>
      <c r="D24" s="61">
        <v>999395676257</v>
      </c>
      <c r="E24" s="30" t="s">
        <v>48</v>
      </c>
      <c r="F24" s="8">
        <v>202.49</v>
      </c>
      <c r="G24" s="8">
        <v>5.55</v>
      </c>
      <c r="H24" s="8">
        <v>1.23</v>
      </c>
      <c r="I24" s="9">
        <f t="shared" si="0"/>
        <v>209.27</v>
      </c>
    </row>
    <row r="25" spans="1:9" s="19" customFormat="1" ht="21" customHeight="1">
      <c r="A25" s="27"/>
      <c r="B25" s="26" t="s">
        <v>49</v>
      </c>
      <c r="C25" s="26" t="s">
        <v>328</v>
      </c>
      <c r="D25" s="61">
        <v>999395676905</v>
      </c>
      <c r="E25" s="30" t="s">
        <v>50</v>
      </c>
      <c r="F25" s="8"/>
      <c r="G25" s="8"/>
      <c r="H25" s="8"/>
      <c r="I25" s="9">
        <f t="shared" si="0"/>
        <v>0</v>
      </c>
    </row>
    <row r="26" spans="1:9" ht="21" customHeight="1">
      <c r="A26" s="27"/>
      <c r="B26" s="26" t="s">
        <v>51</v>
      </c>
      <c r="C26" s="93"/>
      <c r="D26" s="61">
        <v>999395677339</v>
      </c>
      <c r="E26" s="30" t="s">
        <v>52</v>
      </c>
      <c r="F26" s="8">
        <v>337.66</v>
      </c>
      <c r="G26" s="8">
        <v>9.6</v>
      </c>
      <c r="H26" s="8">
        <v>1.23</v>
      </c>
      <c r="I26" s="9">
        <f t="shared" si="0"/>
        <v>348.49000000000007</v>
      </c>
    </row>
    <row r="27" spans="1:9" ht="21" customHeight="1">
      <c r="A27" s="27"/>
      <c r="B27" s="26" t="s">
        <v>53</v>
      </c>
      <c r="C27" s="93"/>
      <c r="D27" s="61">
        <v>999395680029</v>
      </c>
      <c r="E27" s="30" t="s">
        <v>54</v>
      </c>
      <c r="F27" s="8">
        <v>291.52</v>
      </c>
      <c r="G27" s="8">
        <v>8.22</v>
      </c>
      <c r="H27" s="8">
        <v>1.23</v>
      </c>
      <c r="I27" s="9">
        <f t="shared" si="0"/>
        <v>300.97</v>
      </c>
    </row>
    <row r="28" spans="1:9" ht="21" customHeight="1">
      <c r="A28" s="27"/>
      <c r="B28" s="26" t="s">
        <v>55</v>
      </c>
      <c r="C28" s="26" t="s">
        <v>294</v>
      </c>
      <c r="D28" s="61">
        <v>999395682858</v>
      </c>
      <c r="E28" s="30" t="s">
        <v>56</v>
      </c>
      <c r="F28" s="8"/>
      <c r="G28" s="8"/>
      <c r="H28" s="8"/>
      <c r="I28" s="9">
        <f t="shared" si="0"/>
        <v>0</v>
      </c>
    </row>
    <row r="29" spans="1:9" ht="21" customHeight="1">
      <c r="A29" s="27"/>
      <c r="B29" s="26" t="s">
        <v>57</v>
      </c>
      <c r="C29" s="26" t="s">
        <v>295</v>
      </c>
      <c r="D29" s="12">
        <v>512095448</v>
      </c>
      <c r="E29" s="30" t="s">
        <v>58</v>
      </c>
      <c r="F29" s="8"/>
      <c r="G29" s="8"/>
      <c r="H29" s="8"/>
      <c r="I29" s="9">
        <f t="shared" si="0"/>
        <v>0</v>
      </c>
    </row>
    <row r="30" spans="1:9" ht="21" customHeight="1">
      <c r="A30" s="27"/>
      <c r="B30" s="26" t="s">
        <v>59</v>
      </c>
      <c r="C30" s="26" t="s">
        <v>296</v>
      </c>
      <c r="D30" s="61">
        <v>999395695033</v>
      </c>
      <c r="E30" s="30" t="s">
        <v>60</v>
      </c>
      <c r="F30" s="8">
        <v>440.175</v>
      </c>
      <c r="G30" s="8">
        <v>13.08</v>
      </c>
      <c r="H30" s="8">
        <v>0.295</v>
      </c>
      <c r="I30" s="9">
        <f t="shared" si="0"/>
        <v>453.55</v>
      </c>
    </row>
    <row r="31" spans="1:9" ht="21" customHeight="1">
      <c r="A31" s="27"/>
      <c r="B31" s="26" t="s">
        <v>61</v>
      </c>
      <c r="C31" s="26" t="s">
        <v>296</v>
      </c>
      <c r="D31" s="61">
        <v>999395696742</v>
      </c>
      <c r="E31" s="30" t="s">
        <v>62</v>
      </c>
      <c r="F31" s="8">
        <v>708.66</v>
      </c>
      <c r="G31" s="8">
        <v>21.135</v>
      </c>
      <c r="H31" s="8">
        <v>0.295</v>
      </c>
      <c r="I31" s="9">
        <f t="shared" si="0"/>
        <v>730.0899999999999</v>
      </c>
    </row>
    <row r="32" spans="1:9" ht="21" customHeight="1">
      <c r="A32" s="27"/>
      <c r="B32" s="26" t="s">
        <v>63</v>
      </c>
      <c r="C32" s="26" t="s">
        <v>308</v>
      </c>
      <c r="D32" s="61">
        <v>999395697615</v>
      </c>
      <c r="E32" s="30" t="s">
        <v>64</v>
      </c>
      <c r="F32" s="8">
        <f>884.12/2</f>
        <v>442.06</v>
      </c>
      <c r="G32" s="8">
        <f>26.18/2</f>
        <v>13.09</v>
      </c>
      <c r="H32" s="8">
        <f>0.8/2</f>
        <v>0.4</v>
      </c>
      <c r="I32" s="9">
        <f t="shared" si="0"/>
        <v>455.54999999999995</v>
      </c>
    </row>
    <row r="33" spans="1:9" ht="21" customHeight="1">
      <c r="A33" s="27"/>
      <c r="B33" s="26" t="s">
        <v>65</v>
      </c>
      <c r="C33" s="26" t="s">
        <v>297</v>
      </c>
      <c r="D33" s="61">
        <v>999395698321</v>
      </c>
      <c r="E33" s="30" t="s">
        <v>66</v>
      </c>
      <c r="F33" s="8">
        <f>762.72/2</f>
        <v>381.36</v>
      </c>
      <c r="G33" s="8">
        <f>22.52/2</f>
        <v>11.26</v>
      </c>
      <c r="H33" s="8">
        <f>0.84/2</f>
        <v>0.42</v>
      </c>
      <c r="I33" s="9">
        <f t="shared" si="0"/>
        <v>393.04</v>
      </c>
    </row>
    <row r="34" spans="1:9" ht="21" customHeight="1">
      <c r="A34" s="27"/>
      <c r="B34" s="26" t="s">
        <v>67</v>
      </c>
      <c r="C34" s="26" t="s">
        <v>309</v>
      </c>
      <c r="D34" s="62">
        <v>999395698661</v>
      </c>
      <c r="E34" s="31" t="s">
        <v>68</v>
      </c>
      <c r="F34" s="18">
        <f>433.22/2</f>
        <v>216.61</v>
      </c>
      <c r="G34" s="18">
        <f>12.65/2</f>
        <v>6.325</v>
      </c>
      <c r="H34" s="18">
        <f>0.81/2</f>
        <v>0.405</v>
      </c>
      <c r="I34" s="9">
        <f t="shared" si="0"/>
        <v>223.34</v>
      </c>
    </row>
    <row r="35" spans="1:9" ht="21" customHeight="1">
      <c r="A35" s="27"/>
      <c r="B35" s="26" t="s">
        <v>69</v>
      </c>
      <c r="C35" s="26"/>
      <c r="D35" s="61">
        <v>999395699042</v>
      </c>
      <c r="E35" s="30" t="s">
        <v>70</v>
      </c>
      <c r="F35" s="8">
        <v>520.65</v>
      </c>
      <c r="G35" s="8">
        <v>15.46</v>
      </c>
      <c r="H35" s="8">
        <v>0.38</v>
      </c>
      <c r="I35" s="9">
        <f t="shared" si="0"/>
        <v>536.49</v>
      </c>
    </row>
    <row r="36" spans="1:12" s="20" customFormat="1" ht="21" customHeight="1">
      <c r="A36" s="27"/>
      <c r="B36" s="26" t="s">
        <v>71</v>
      </c>
      <c r="C36" s="93"/>
      <c r="D36" s="61">
        <v>999395699192</v>
      </c>
      <c r="E36" s="30" t="s">
        <v>72</v>
      </c>
      <c r="F36" s="18">
        <f>424.77/2</f>
        <v>212.385</v>
      </c>
      <c r="G36" s="18">
        <f>12.38/2</f>
        <v>6.19</v>
      </c>
      <c r="H36" s="18">
        <f>0.84/2</f>
        <v>0.42</v>
      </c>
      <c r="I36" s="87">
        <f t="shared" si="0"/>
        <v>218.99499999999998</v>
      </c>
      <c r="J36" s="19"/>
      <c r="K36" s="19"/>
      <c r="L36" s="19"/>
    </row>
    <row r="37" spans="1:9" ht="21" customHeight="1">
      <c r="A37" s="27"/>
      <c r="B37" s="26" t="s">
        <v>73</v>
      </c>
      <c r="C37" s="93"/>
      <c r="D37" s="61">
        <v>999395699382</v>
      </c>
      <c r="E37" s="30" t="s">
        <v>74</v>
      </c>
      <c r="F37" s="8">
        <f>435.49/2</f>
        <v>217.745</v>
      </c>
      <c r="G37" s="8">
        <f>12.71/2</f>
        <v>6.355</v>
      </c>
      <c r="H37" s="8">
        <f>0.84/2</f>
        <v>0.42</v>
      </c>
      <c r="I37" s="9">
        <f t="shared" si="0"/>
        <v>224.51999999999998</v>
      </c>
    </row>
    <row r="38" spans="1:9" ht="21" customHeight="1">
      <c r="A38" s="27"/>
      <c r="B38" s="26" t="s">
        <v>75</v>
      </c>
      <c r="C38" s="26" t="s">
        <v>298</v>
      </c>
      <c r="D38" s="61">
        <v>999395699631</v>
      </c>
      <c r="E38" s="30" t="s">
        <v>76</v>
      </c>
      <c r="F38" s="8">
        <f>160.64/2</f>
        <v>80.32</v>
      </c>
      <c r="G38" s="8">
        <f>4.47/2</f>
        <v>2.235</v>
      </c>
      <c r="H38" s="8">
        <f>0.81/2</f>
        <v>0.405</v>
      </c>
      <c r="I38" s="9">
        <f t="shared" si="0"/>
        <v>82.96</v>
      </c>
    </row>
    <row r="39" spans="1:9" ht="21" customHeight="1">
      <c r="A39" s="27"/>
      <c r="B39" s="26" t="s">
        <v>77</v>
      </c>
      <c r="C39" s="93"/>
      <c r="D39" s="61">
        <v>999395699855</v>
      </c>
      <c r="E39" s="30" t="s">
        <v>78</v>
      </c>
      <c r="F39" s="8">
        <f>370.52/2</f>
        <v>185.26</v>
      </c>
      <c r="G39" s="8">
        <f>10.79/2</f>
        <v>5.395</v>
      </c>
      <c r="H39" s="8">
        <f>0.75/2</f>
        <v>0.375</v>
      </c>
      <c r="I39" s="9">
        <f t="shared" si="0"/>
        <v>191.03</v>
      </c>
    </row>
    <row r="40" spans="1:9" ht="21" customHeight="1">
      <c r="A40" s="27"/>
      <c r="B40" s="26" t="s">
        <v>79</v>
      </c>
      <c r="C40" s="26" t="s">
        <v>299</v>
      </c>
      <c r="D40" s="61">
        <v>999395699914</v>
      </c>
      <c r="E40" s="30" t="s">
        <v>80</v>
      </c>
      <c r="F40" s="8">
        <f>661.03/2</f>
        <v>330.515</v>
      </c>
      <c r="G40" s="8">
        <f>19.51/2</f>
        <v>9.755</v>
      </c>
      <c r="H40" s="8">
        <f>0.75/2</f>
        <v>0.375</v>
      </c>
      <c r="I40" s="9">
        <f t="shared" si="0"/>
        <v>340.645</v>
      </c>
    </row>
    <row r="41" spans="1:9" ht="21" customHeight="1">
      <c r="A41" s="27"/>
      <c r="B41" s="26" t="s">
        <v>81</v>
      </c>
      <c r="C41" s="26" t="s">
        <v>329</v>
      </c>
      <c r="D41" s="61">
        <v>999395720675</v>
      </c>
      <c r="E41" s="30" t="s">
        <v>82</v>
      </c>
      <c r="F41" s="8">
        <f>1346.31/2</f>
        <v>673.155</v>
      </c>
      <c r="G41" s="8">
        <f>40.05/2</f>
        <v>20.025</v>
      </c>
      <c r="H41" s="8">
        <f>0.79/2</f>
        <v>0.395</v>
      </c>
      <c r="I41" s="9">
        <f t="shared" si="0"/>
        <v>693.5749999999999</v>
      </c>
    </row>
    <row r="42" spans="1:9" ht="21" customHeight="1">
      <c r="A42" s="27"/>
      <c r="B42" s="26" t="s">
        <v>83</v>
      </c>
      <c r="C42" s="26" t="s">
        <v>300</v>
      </c>
      <c r="D42" s="61">
        <v>999395721493</v>
      </c>
      <c r="E42" s="30" t="s">
        <v>84</v>
      </c>
      <c r="F42" s="8">
        <f>834.57/2</f>
        <v>417.285</v>
      </c>
      <c r="G42" s="8">
        <f>24.69/2</f>
        <v>12.345</v>
      </c>
      <c r="H42" s="8">
        <f>0.8/2</f>
        <v>0.4</v>
      </c>
      <c r="I42" s="9">
        <f t="shared" si="0"/>
        <v>430.03000000000003</v>
      </c>
    </row>
    <row r="43" spans="1:9" ht="21" customHeight="1">
      <c r="A43" s="27"/>
      <c r="B43" s="26" t="s">
        <v>85</v>
      </c>
      <c r="C43" s="26"/>
      <c r="D43" s="61">
        <v>999395728957</v>
      </c>
      <c r="E43" s="30" t="s">
        <v>86</v>
      </c>
      <c r="F43" s="8">
        <v>115.34</v>
      </c>
      <c r="G43" s="8">
        <v>3.28</v>
      </c>
      <c r="H43" s="8">
        <v>0.42</v>
      </c>
      <c r="I43" s="9">
        <f t="shared" si="0"/>
        <v>119.04</v>
      </c>
    </row>
    <row r="44" spans="1:9" ht="21" customHeight="1">
      <c r="A44" s="27"/>
      <c r="B44" s="26" t="s">
        <v>87</v>
      </c>
      <c r="C44" s="26" t="s">
        <v>330</v>
      </c>
      <c r="D44" s="61">
        <v>999395729357</v>
      </c>
      <c r="E44" s="30" t="s">
        <v>88</v>
      </c>
      <c r="F44" s="8">
        <f>332.21/2</f>
        <v>166.105</v>
      </c>
      <c r="G44" s="8">
        <f>9.61/2</f>
        <v>4.805</v>
      </c>
      <c r="H44" s="8">
        <f>0.83/2</f>
        <v>0.415</v>
      </c>
      <c r="I44" s="9">
        <f t="shared" si="0"/>
        <v>171.325</v>
      </c>
    </row>
    <row r="45" spans="1:9" ht="21" customHeight="1">
      <c r="A45" s="27"/>
      <c r="B45" s="26" t="s">
        <v>89</v>
      </c>
      <c r="C45" s="93"/>
      <c r="D45" s="61">
        <v>999395729815</v>
      </c>
      <c r="E45" s="30" t="s">
        <v>90</v>
      </c>
      <c r="F45" s="8">
        <f>248.44/2</f>
        <v>124.22</v>
      </c>
      <c r="G45" s="8">
        <f>7.13/2</f>
        <v>3.565</v>
      </c>
      <c r="H45" s="8">
        <f>0.75/2</f>
        <v>0.375</v>
      </c>
      <c r="I45" s="9">
        <f t="shared" si="0"/>
        <v>128.16</v>
      </c>
    </row>
    <row r="46" spans="1:9" ht="21" customHeight="1">
      <c r="A46" s="27"/>
      <c r="B46" s="26" t="s">
        <v>94</v>
      </c>
      <c r="C46" s="26" t="s">
        <v>331</v>
      </c>
      <c r="D46" s="61">
        <v>999395730546</v>
      </c>
      <c r="E46" s="30" t="s">
        <v>91</v>
      </c>
      <c r="F46" s="8">
        <f>95.21/2</f>
        <v>47.605</v>
      </c>
      <c r="G46" s="8">
        <f>2.54/2</f>
        <v>1.27</v>
      </c>
      <c r="H46" s="8">
        <f>0.75/2</f>
        <v>0.375</v>
      </c>
      <c r="I46" s="9">
        <f t="shared" si="0"/>
        <v>49.25</v>
      </c>
    </row>
    <row r="47" spans="1:9" ht="21" customHeight="1">
      <c r="A47" s="27"/>
      <c r="B47" s="26" t="s">
        <v>92</v>
      </c>
      <c r="C47" s="26" t="s">
        <v>319</v>
      </c>
      <c r="D47" s="61">
        <v>999395731005</v>
      </c>
      <c r="E47" s="32" t="s">
        <v>93</v>
      </c>
      <c r="F47" s="8">
        <v>195.69</v>
      </c>
      <c r="G47" s="8">
        <v>5.69</v>
      </c>
      <c r="H47" s="8">
        <v>0.42</v>
      </c>
      <c r="I47" s="9">
        <f t="shared" si="0"/>
        <v>201.79999999999998</v>
      </c>
    </row>
    <row r="48" spans="1:9" ht="21" customHeight="1">
      <c r="A48" s="27"/>
      <c r="B48" s="26" t="s">
        <v>95</v>
      </c>
      <c r="C48" s="93"/>
      <c r="D48" s="61">
        <v>999395731797</v>
      </c>
      <c r="E48" s="30" t="s">
        <v>96</v>
      </c>
      <c r="F48" s="8">
        <f>514.64/2</f>
        <v>257.32</v>
      </c>
      <c r="G48" s="8">
        <f>15.1/2</f>
        <v>7.55</v>
      </c>
      <c r="H48" s="8">
        <f>0.8/2</f>
        <v>0.4</v>
      </c>
      <c r="I48" s="9">
        <f t="shared" si="0"/>
        <v>265.27</v>
      </c>
    </row>
    <row r="49" spans="1:9" ht="21" customHeight="1">
      <c r="A49" s="27"/>
      <c r="B49" s="26" t="s">
        <v>97</v>
      </c>
      <c r="C49" s="26"/>
      <c r="D49" s="61">
        <v>999395850272</v>
      </c>
      <c r="E49" s="30" t="s">
        <v>98</v>
      </c>
      <c r="F49" s="8">
        <v>730.93</v>
      </c>
      <c r="G49" s="8">
        <v>21.4</v>
      </c>
      <c r="H49" s="8">
        <v>1.23</v>
      </c>
      <c r="I49" s="9">
        <f t="shared" si="0"/>
        <v>753.56</v>
      </c>
    </row>
    <row r="50" spans="1:9" ht="21" customHeight="1">
      <c r="A50" s="27"/>
      <c r="B50" s="26" t="s">
        <v>99</v>
      </c>
      <c r="C50" s="93"/>
      <c r="D50" s="61">
        <v>999395869847</v>
      </c>
      <c r="E50" s="30" t="s">
        <v>100</v>
      </c>
      <c r="F50" s="8">
        <v>452.22</v>
      </c>
      <c r="G50" s="8">
        <v>13.34</v>
      </c>
      <c r="H50" s="8">
        <v>0.53</v>
      </c>
      <c r="I50" s="9">
        <f t="shared" si="0"/>
        <v>466.09</v>
      </c>
    </row>
    <row r="51" spans="1:9" ht="21" customHeight="1">
      <c r="A51" s="27"/>
      <c r="B51" s="26" t="s">
        <v>101</v>
      </c>
      <c r="C51" s="26" t="s">
        <v>371</v>
      </c>
      <c r="D51" s="12">
        <v>83007836944</v>
      </c>
      <c r="E51" s="30" t="s">
        <v>102</v>
      </c>
      <c r="F51" s="8">
        <f>475.52/2</f>
        <v>237.76</v>
      </c>
      <c r="G51" s="8">
        <f>7.06/2</f>
        <v>3.53</v>
      </c>
      <c r="H51" s="8">
        <f>16.82/2</f>
        <v>8.41</v>
      </c>
      <c r="I51" s="9">
        <f t="shared" si="0"/>
        <v>249.7</v>
      </c>
    </row>
    <row r="52" spans="1:9" ht="21" customHeight="1">
      <c r="A52" s="27"/>
      <c r="B52" s="26" t="s">
        <v>103</v>
      </c>
      <c r="C52" s="26" t="s">
        <v>286</v>
      </c>
      <c r="D52" s="61">
        <v>999418107083</v>
      </c>
      <c r="E52" s="30" t="s">
        <v>104</v>
      </c>
      <c r="F52" s="8">
        <f>1594.61/2</f>
        <v>797.305</v>
      </c>
      <c r="G52" s="8">
        <f>47.51/2</f>
        <v>23.755</v>
      </c>
      <c r="H52" s="8">
        <f>0.76/2</f>
        <v>0.38</v>
      </c>
      <c r="I52" s="9">
        <f t="shared" si="0"/>
        <v>821.4399999999999</v>
      </c>
    </row>
    <row r="53" spans="1:9" ht="21" customHeight="1">
      <c r="A53" s="27"/>
      <c r="B53" s="26" t="s">
        <v>105</v>
      </c>
      <c r="C53" s="26" t="s">
        <v>332</v>
      </c>
      <c r="D53" s="61">
        <v>999418108530</v>
      </c>
      <c r="E53" s="30" t="s">
        <v>106</v>
      </c>
      <c r="F53" s="8">
        <v>304.71</v>
      </c>
      <c r="G53" s="8">
        <v>8.61</v>
      </c>
      <c r="H53" s="8">
        <v>1.23</v>
      </c>
      <c r="I53" s="9">
        <f t="shared" si="0"/>
        <v>314.55</v>
      </c>
    </row>
    <row r="54" spans="1:9" ht="21" customHeight="1">
      <c r="A54" s="27"/>
      <c r="B54" s="26" t="s">
        <v>107</v>
      </c>
      <c r="C54" s="26" t="s">
        <v>302</v>
      </c>
      <c r="D54" s="61">
        <v>999444028261</v>
      </c>
      <c r="E54" s="30" t="s">
        <v>108</v>
      </c>
      <c r="F54" s="8">
        <v>112.18</v>
      </c>
      <c r="G54" s="8">
        <v>2.84</v>
      </c>
      <c r="H54" s="8">
        <v>1.23</v>
      </c>
      <c r="I54" s="9">
        <f t="shared" si="0"/>
        <v>116.25000000000001</v>
      </c>
    </row>
    <row r="55" spans="1:9" ht="21" customHeight="1">
      <c r="A55" s="27"/>
      <c r="B55" s="26" t="s">
        <v>109</v>
      </c>
      <c r="C55" s="26" t="s">
        <v>313</v>
      </c>
      <c r="D55" s="12">
        <v>83000769293</v>
      </c>
      <c r="E55" s="30" t="s">
        <v>110</v>
      </c>
      <c r="F55" s="8">
        <v>325.53</v>
      </c>
      <c r="G55" s="8">
        <v>9.24</v>
      </c>
      <c r="H55" s="8">
        <v>1.23</v>
      </c>
      <c r="I55" s="9">
        <f t="shared" si="0"/>
        <v>336</v>
      </c>
    </row>
    <row r="56" spans="1:9" s="19" customFormat="1" ht="21" customHeight="1">
      <c r="A56" s="27"/>
      <c r="B56" s="35" t="s">
        <v>125</v>
      </c>
      <c r="C56" s="94"/>
      <c r="D56" s="36">
        <v>60006203645</v>
      </c>
      <c r="E56" s="37" t="s">
        <v>126</v>
      </c>
      <c r="F56" s="8">
        <v>19.96</v>
      </c>
      <c r="G56" s="8">
        <v>0.58</v>
      </c>
      <c r="H56" s="8">
        <v>0.05</v>
      </c>
      <c r="I56" s="9">
        <f t="shared" si="0"/>
        <v>20.59</v>
      </c>
    </row>
    <row r="57" spans="1:12" s="29" customFormat="1" ht="21" customHeight="1">
      <c r="A57" s="27"/>
      <c r="B57" s="26" t="s">
        <v>127</v>
      </c>
      <c r="C57" s="93"/>
      <c r="D57" s="12">
        <v>60007966411</v>
      </c>
      <c r="E57" s="30" t="s">
        <v>128</v>
      </c>
      <c r="F57" s="8">
        <v>73.25</v>
      </c>
      <c r="G57" s="8">
        <v>2.18</v>
      </c>
      <c r="H57" s="8">
        <v>0.05</v>
      </c>
      <c r="I57" s="9">
        <f t="shared" si="0"/>
        <v>75.48</v>
      </c>
      <c r="J57" s="19"/>
      <c r="K57" s="19"/>
      <c r="L57" s="19"/>
    </row>
    <row r="58" spans="1:12" s="29" customFormat="1" ht="21" customHeight="1">
      <c r="A58" s="27"/>
      <c r="B58" s="26" t="s">
        <v>129</v>
      </c>
      <c r="C58" s="26" t="s">
        <v>289</v>
      </c>
      <c r="D58" s="12">
        <v>60006643135</v>
      </c>
      <c r="E58" s="30" t="s">
        <v>130</v>
      </c>
      <c r="F58" s="8">
        <f>101.26/2</f>
        <v>50.63</v>
      </c>
      <c r="G58" s="8">
        <f>3/2</f>
        <v>1.5</v>
      </c>
      <c r="H58" s="8">
        <f>0.08/2</f>
        <v>0.04</v>
      </c>
      <c r="I58" s="9">
        <f t="shared" si="0"/>
        <v>52.17</v>
      </c>
      <c r="J58" s="19"/>
      <c r="K58" s="19"/>
      <c r="L58" s="19"/>
    </row>
    <row r="59" spans="1:12" ht="21" customHeight="1">
      <c r="A59" s="27"/>
      <c r="B59" s="26" t="s">
        <v>131</v>
      </c>
      <c r="C59" s="93"/>
      <c r="D59" s="12">
        <v>60007843244</v>
      </c>
      <c r="E59" s="30" t="s">
        <v>132</v>
      </c>
      <c r="F59" s="8">
        <v>43.49</v>
      </c>
      <c r="G59" s="8">
        <v>1.29</v>
      </c>
      <c r="H59" s="8">
        <v>0.03</v>
      </c>
      <c r="I59" s="9">
        <f aca="true" t="shared" si="1" ref="I59:I119">SUM(F59:H59)</f>
        <v>44.81</v>
      </c>
      <c r="J59" s="19"/>
      <c r="K59" s="19"/>
      <c r="L59" s="19"/>
    </row>
    <row r="60" spans="1:12" ht="21" customHeight="1">
      <c r="A60" s="27"/>
      <c r="B60" s="26" t="s">
        <v>133</v>
      </c>
      <c r="C60" s="26" t="s">
        <v>322</v>
      </c>
      <c r="D60" s="12">
        <v>60007843069</v>
      </c>
      <c r="E60" s="30" t="s">
        <v>134</v>
      </c>
      <c r="F60" s="8">
        <f>142.16/2</f>
        <v>71.08</v>
      </c>
      <c r="G60" s="8">
        <f>4.17/2</f>
        <v>2.085</v>
      </c>
      <c r="H60" s="8">
        <f>0.22/2</f>
        <v>0.11</v>
      </c>
      <c r="I60" s="9">
        <f t="shared" si="1"/>
        <v>73.27499999999999</v>
      </c>
      <c r="J60" s="19"/>
      <c r="K60" s="19"/>
      <c r="L60" s="19"/>
    </row>
    <row r="61" spans="1:12" ht="21" customHeight="1">
      <c r="A61" s="27"/>
      <c r="B61" s="26" t="s">
        <v>135</v>
      </c>
      <c r="C61" s="26" t="s">
        <v>353</v>
      </c>
      <c r="D61" s="12">
        <v>60007843073</v>
      </c>
      <c r="E61" s="30" t="s">
        <v>136</v>
      </c>
      <c r="F61" s="8">
        <f>114.33/2</f>
        <v>57.165</v>
      </c>
      <c r="G61" s="8">
        <f>3.4/2</f>
        <v>1.7</v>
      </c>
      <c r="H61" s="8">
        <f>0.08/2</f>
        <v>0.04</v>
      </c>
      <c r="I61" s="9">
        <f t="shared" si="1"/>
        <v>58.905</v>
      </c>
      <c r="J61" s="19"/>
      <c r="K61" s="19"/>
      <c r="L61" s="19"/>
    </row>
    <row r="62" spans="1:12" ht="21" customHeight="1">
      <c r="A62" s="27"/>
      <c r="B62" s="26" t="s">
        <v>137</v>
      </c>
      <c r="C62" s="93"/>
      <c r="D62" s="12">
        <v>60007843356</v>
      </c>
      <c r="E62" s="30" t="s">
        <v>138</v>
      </c>
      <c r="F62" s="8">
        <f>52.65/2</f>
        <v>26.325</v>
      </c>
      <c r="G62" s="8">
        <f>1.54/2</f>
        <v>0.77</v>
      </c>
      <c r="H62" s="8">
        <f>0.08/2</f>
        <v>0.04</v>
      </c>
      <c r="I62" s="9">
        <f t="shared" si="1"/>
        <v>27.134999999999998</v>
      </c>
      <c r="J62" s="19"/>
      <c r="K62" s="19"/>
      <c r="L62" s="19"/>
    </row>
    <row r="63" spans="1:12" ht="21" customHeight="1">
      <c r="A63" s="27"/>
      <c r="B63" s="26" t="s">
        <v>139</v>
      </c>
      <c r="C63" s="93"/>
      <c r="D63" s="12">
        <v>60007847274</v>
      </c>
      <c r="E63" s="30" t="s">
        <v>140</v>
      </c>
      <c r="F63" s="8">
        <f>69.33/2</f>
        <v>34.665</v>
      </c>
      <c r="G63" s="8">
        <f>1.98/2</f>
        <v>0.99</v>
      </c>
      <c r="H63" s="8">
        <f>0.23/2</f>
        <v>0.115</v>
      </c>
      <c r="I63" s="9">
        <f t="shared" si="1"/>
        <v>35.77</v>
      </c>
      <c r="J63" s="19"/>
      <c r="K63" s="19"/>
      <c r="L63" s="19"/>
    </row>
    <row r="64" spans="1:12" ht="21" customHeight="1">
      <c r="A64" s="27"/>
      <c r="B64" s="26" t="s">
        <v>141</v>
      </c>
      <c r="C64" s="93"/>
      <c r="D64" s="12">
        <v>60007847482</v>
      </c>
      <c r="E64" s="30" t="s">
        <v>142</v>
      </c>
      <c r="F64" s="8">
        <v>56.74</v>
      </c>
      <c r="G64" s="8">
        <v>1.68</v>
      </c>
      <c r="H64" s="8">
        <v>0.06</v>
      </c>
      <c r="I64" s="9">
        <f t="shared" si="1"/>
        <v>58.480000000000004</v>
      </c>
      <c r="J64" s="19"/>
      <c r="K64" s="19"/>
      <c r="L64" s="19"/>
    </row>
    <row r="65" spans="1:12" ht="21" customHeight="1">
      <c r="A65" s="27"/>
      <c r="B65" s="26" t="s">
        <v>143</v>
      </c>
      <c r="C65" s="26" t="s">
        <v>323</v>
      </c>
      <c r="D65" s="12">
        <v>60007858040</v>
      </c>
      <c r="E65" s="78" t="s">
        <v>144</v>
      </c>
      <c r="F65" s="8">
        <v>30.46</v>
      </c>
      <c r="G65" s="8">
        <v>0.88</v>
      </c>
      <c r="H65" s="8">
        <v>0.09</v>
      </c>
      <c r="I65" s="9">
        <f t="shared" si="1"/>
        <v>31.43</v>
      </c>
      <c r="J65" s="19"/>
      <c r="K65" s="19"/>
      <c r="L65" s="19"/>
    </row>
    <row r="66" spans="1:12" ht="21" customHeight="1">
      <c r="A66" s="27"/>
      <c r="B66" s="43" t="s">
        <v>145</v>
      </c>
      <c r="C66" s="43" t="s">
        <v>358</v>
      </c>
      <c r="D66" s="44">
        <v>60007889355</v>
      </c>
      <c r="E66" s="37" t="s">
        <v>146</v>
      </c>
      <c r="F66" s="18">
        <f>63.54/2</f>
        <v>31.77</v>
      </c>
      <c r="G66" s="18">
        <f>1.87/2</f>
        <v>0.935</v>
      </c>
      <c r="H66" s="18">
        <f>0.08/2</f>
        <v>0.04</v>
      </c>
      <c r="I66" s="9">
        <f t="shared" si="1"/>
        <v>32.745</v>
      </c>
      <c r="J66" s="19"/>
      <c r="K66" s="19"/>
      <c r="L66" s="19"/>
    </row>
    <row r="67" spans="1:12" ht="21" customHeight="1">
      <c r="A67" s="39"/>
      <c r="B67" s="41" t="s">
        <v>147</v>
      </c>
      <c r="C67" s="41" t="s">
        <v>311</v>
      </c>
      <c r="D67" s="40">
        <v>60007899611</v>
      </c>
      <c r="E67" s="42" t="s">
        <v>148</v>
      </c>
      <c r="F67" s="18">
        <v>112.8</v>
      </c>
      <c r="G67" s="18">
        <v>3.35</v>
      </c>
      <c r="H67" s="18">
        <v>0.09</v>
      </c>
      <c r="I67" s="9">
        <f t="shared" si="1"/>
        <v>116.24</v>
      </c>
      <c r="J67" s="19"/>
      <c r="K67" s="19"/>
      <c r="L67" s="19"/>
    </row>
    <row r="68" spans="1:12" s="29" customFormat="1" ht="21" customHeight="1">
      <c r="A68" s="27"/>
      <c r="B68" s="26" t="s">
        <v>149</v>
      </c>
      <c r="C68" s="93"/>
      <c r="D68" s="12">
        <v>60008073286</v>
      </c>
      <c r="E68" s="30" t="s">
        <v>150</v>
      </c>
      <c r="F68" s="8">
        <f>24.45/2</f>
        <v>12.225</v>
      </c>
      <c r="G68" s="8">
        <f>0.64/2</f>
        <v>0.32</v>
      </c>
      <c r="H68" s="8">
        <f>0.21/2</f>
        <v>0.105</v>
      </c>
      <c r="I68" s="9">
        <f t="shared" si="1"/>
        <v>12.65</v>
      </c>
      <c r="J68" s="19"/>
      <c r="K68" s="19"/>
      <c r="L68" s="19"/>
    </row>
    <row r="69" spans="1:12" s="20" customFormat="1" ht="21" customHeight="1">
      <c r="A69" s="27"/>
      <c r="B69" s="26" t="s">
        <v>151</v>
      </c>
      <c r="C69" s="26"/>
      <c r="D69" s="12">
        <v>60008101006</v>
      </c>
      <c r="E69" s="30" t="s">
        <v>152</v>
      </c>
      <c r="F69" s="8">
        <f>63.75/2</f>
        <v>31.875</v>
      </c>
      <c r="G69" s="8">
        <f>1.83/2</f>
        <v>0.915</v>
      </c>
      <c r="H69" s="8">
        <f>0.2/2</f>
        <v>0.1</v>
      </c>
      <c r="I69" s="9">
        <f t="shared" si="1"/>
        <v>32.89</v>
      </c>
      <c r="J69" s="19"/>
      <c r="K69" s="19"/>
      <c r="L69" s="19"/>
    </row>
    <row r="70" spans="1:12" s="20" customFormat="1" ht="21" customHeight="1">
      <c r="A70" s="27"/>
      <c r="B70" s="26" t="s">
        <v>153</v>
      </c>
      <c r="C70" s="26" t="s">
        <v>359</v>
      </c>
      <c r="D70" s="12">
        <v>60008115357</v>
      </c>
      <c r="E70" s="30" t="s">
        <v>154</v>
      </c>
      <c r="F70" s="8">
        <v>50.84</v>
      </c>
      <c r="G70" s="8">
        <v>1.5</v>
      </c>
      <c r="H70" s="8">
        <v>0.06</v>
      </c>
      <c r="I70" s="9">
        <f t="shared" si="1"/>
        <v>52.400000000000006</v>
      </c>
      <c r="J70" s="19"/>
      <c r="K70" s="19"/>
      <c r="L70" s="19"/>
    </row>
    <row r="71" spans="1:12" s="20" customFormat="1" ht="21" customHeight="1">
      <c r="A71" s="27"/>
      <c r="B71" s="26" t="s">
        <v>155</v>
      </c>
      <c r="C71" s="26" t="s">
        <v>312</v>
      </c>
      <c r="D71" s="12">
        <v>60008450632</v>
      </c>
      <c r="E71" s="30" t="s">
        <v>156</v>
      </c>
      <c r="F71" s="8">
        <v>20.01</v>
      </c>
      <c r="G71" s="8">
        <v>0.57</v>
      </c>
      <c r="H71" s="8">
        <v>0.06</v>
      </c>
      <c r="I71" s="9">
        <f t="shared" si="1"/>
        <v>20.64</v>
      </c>
      <c r="J71" s="19"/>
      <c r="K71" s="19"/>
      <c r="L71" s="19"/>
    </row>
    <row r="72" spans="1:12" ht="21" customHeight="1">
      <c r="A72" s="27"/>
      <c r="B72" s="26" t="s">
        <v>157</v>
      </c>
      <c r="C72" s="26" t="s">
        <v>360</v>
      </c>
      <c r="D72" s="12">
        <v>60008427213</v>
      </c>
      <c r="E72" s="30" t="s">
        <v>158</v>
      </c>
      <c r="F72" s="8">
        <v>12.63</v>
      </c>
      <c r="G72" s="8">
        <v>0.37</v>
      </c>
      <c r="H72" s="8">
        <v>0.02</v>
      </c>
      <c r="I72" s="9">
        <f t="shared" si="1"/>
        <v>13.02</v>
      </c>
      <c r="J72" s="19"/>
      <c r="K72" s="19"/>
      <c r="L72" s="19"/>
    </row>
    <row r="73" spans="1:12" ht="21" customHeight="1">
      <c r="A73" s="27"/>
      <c r="B73" s="26" t="s">
        <v>159</v>
      </c>
      <c r="C73" s="26" t="s">
        <v>361</v>
      </c>
      <c r="D73" s="12">
        <v>60008475541</v>
      </c>
      <c r="E73" s="30" t="s">
        <v>160</v>
      </c>
      <c r="F73" s="8">
        <f>173.48/2</f>
        <v>86.74</v>
      </c>
      <c r="G73" s="8">
        <f>5.17/2</f>
        <v>2.585</v>
      </c>
      <c r="H73" s="8">
        <f>0.08/2</f>
        <v>0.04</v>
      </c>
      <c r="I73" s="9">
        <f t="shared" si="1"/>
        <v>89.365</v>
      </c>
      <c r="J73" s="19"/>
      <c r="K73" s="19"/>
      <c r="L73" s="19"/>
    </row>
    <row r="74" spans="1:12" ht="21" customHeight="1">
      <c r="A74" s="27"/>
      <c r="B74" s="26" t="s">
        <v>161</v>
      </c>
      <c r="C74" s="93"/>
      <c r="D74" s="12">
        <v>60008368817</v>
      </c>
      <c r="E74" s="30" t="s">
        <v>162</v>
      </c>
      <c r="F74" s="8">
        <v>35.33</v>
      </c>
      <c r="G74" s="8">
        <v>1.04</v>
      </c>
      <c r="H74" s="8">
        <v>0.06</v>
      </c>
      <c r="I74" s="9">
        <f t="shared" si="1"/>
        <v>36.43</v>
      </c>
      <c r="J74" s="19"/>
      <c r="K74" s="19"/>
      <c r="L74" s="19"/>
    </row>
    <row r="75" spans="1:12" ht="21" customHeight="1">
      <c r="A75" s="27"/>
      <c r="B75" s="26" t="s">
        <v>163</v>
      </c>
      <c r="C75" s="26" t="s">
        <v>372</v>
      </c>
      <c r="D75" s="12">
        <v>60091069643</v>
      </c>
      <c r="E75" s="30" t="s">
        <v>164</v>
      </c>
      <c r="F75" s="8">
        <v>22.04</v>
      </c>
      <c r="G75" s="8">
        <v>0.64</v>
      </c>
      <c r="H75" s="8">
        <v>0.06</v>
      </c>
      <c r="I75" s="9">
        <f t="shared" si="1"/>
        <v>22.74</v>
      </c>
      <c r="J75" s="19"/>
      <c r="K75" s="19"/>
      <c r="L75" s="19"/>
    </row>
    <row r="76" spans="1:12" ht="21" customHeight="1">
      <c r="A76" s="27"/>
      <c r="B76" s="26" t="s">
        <v>165</v>
      </c>
      <c r="C76" s="26" t="s">
        <v>363</v>
      </c>
      <c r="D76" s="12">
        <v>60089709450</v>
      </c>
      <c r="E76" s="30" t="s">
        <v>166</v>
      </c>
      <c r="F76" s="8">
        <f>62.88/2</f>
        <v>31.44</v>
      </c>
      <c r="G76" s="8">
        <f>1.85/2</f>
        <v>0.925</v>
      </c>
      <c r="H76" s="8">
        <f>0.07/2</f>
        <v>0.035</v>
      </c>
      <c r="I76" s="9">
        <f t="shared" si="1"/>
        <v>32.4</v>
      </c>
      <c r="J76" s="19"/>
      <c r="K76" s="19"/>
      <c r="L76" s="19"/>
    </row>
    <row r="77" spans="1:12" ht="21" customHeight="1">
      <c r="A77" s="27"/>
      <c r="B77" s="26" t="s">
        <v>167</v>
      </c>
      <c r="C77" s="26" t="s">
        <v>362</v>
      </c>
      <c r="D77" s="12">
        <v>60089553056</v>
      </c>
      <c r="E77" s="30" t="s">
        <v>168</v>
      </c>
      <c r="F77" s="8">
        <f>534.15/2</f>
        <v>267.075</v>
      </c>
      <c r="G77" s="8">
        <f>15.93/2</f>
        <v>7.965</v>
      </c>
      <c r="H77" s="8">
        <f>0.22/2</f>
        <v>0.11</v>
      </c>
      <c r="I77" s="9">
        <f t="shared" si="1"/>
        <v>275.15</v>
      </c>
      <c r="J77" s="19"/>
      <c r="K77" s="19"/>
      <c r="L77" s="19"/>
    </row>
    <row r="78" spans="1:12" ht="21" customHeight="1">
      <c r="A78" s="27"/>
      <c r="B78" s="26" t="s">
        <v>169</v>
      </c>
      <c r="C78" s="26" t="s">
        <v>364</v>
      </c>
      <c r="D78" s="17">
        <v>60090692774</v>
      </c>
      <c r="E78" s="31" t="s">
        <v>170</v>
      </c>
      <c r="F78" s="18">
        <v>23.99</v>
      </c>
      <c r="G78" s="18">
        <v>0.69</v>
      </c>
      <c r="H78" s="18">
        <v>0.06</v>
      </c>
      <c r="I78" s="9">
        <f t="shared" si="1"/>
        <v>24.74</v>
      </c>
      <c r="J78" s="19"/>
      <c r="K78" s="19"/>
      <c r="L78" s="19"/>
    </row>
    <row r="79" spans="1:12" ht="21" customHeight="1">
      <c r="A79" s="27"/>
      <c r="B79" s="26" t="s">
        <v>171</v>
      </c>
      <c r="C79" s="93"/>
      <c r="D79" s="12">
        <v>60006579681</v>
      </c>
      <c r="E79" s="30" t="s">
        <v>172</v>
      </c>
      <c r="F79" s="8">
        <v>21.24</v>
      </c>
      <c r="G79" s="8">
        <v>0.61</v>
      </c>
      <c r="H79" s="8">
        <v>0.05</v>
      </c>
      <c r="I79" s="9">
        <f t="shared" si="1"/>
        <v>21.9</v>
      </c>
      <c r="J79" s="19"/>
      <c r="K79" s="19"/>
      <c r="L79" s="19"/>
    </row>
    <row r="80" spans="1:12" ht="21" customHeight="1">
      <c r="A80" s="27"/>
      <c r="B80" s="26" t="s">
        <v>173</v>
      </c>
      <c r="C80" s="26" t="s">
        <v>333</v>
      </c>
      <c r="D80" s="12">
        <v>60006586696</v>
      </c>
      <c r="E80" s="30" t="s">
        <v>174</v>
      </c>
      <c r="F80" s="8">
        <f>204.5/2</f>
        <v>102.25</v>
      </c>
      <c r="G80" s="8">
        <f>6.04/2</f>
        <v>3.02</v>
      </c>
      <c r="H80" s="8">
        <f>0.22/2</f>
        <v>0.11</v>
      </c>
      <c r="I80" s="9">
        <f t="shared" si="1"/>
        <v>105.38</v>
      </c>
      <c r="J80" s="19"/>
      <c r="K80" s="19"/>
      <c r="L80" s="19"/>
    </row>
    <row r="81" spans="1:12" s="20" customFormat="1" ht="21" customHeight="1">
      <c r="A81" s="27"/>
      <c r="B81" s="26" t="s">
        <v>175</v>
      </c>
      <c r="C81" s="93"/>
      <c r="D81" s="17">
        <v>60006586704</v>
      </c>
      <c r="E81" s="31" t="s">
        <v>176</v>
      </c>
      <c r="F81" s="18">
        <f>29.16/2</f>
        <v>14.58</v>
      </c>
      <c r="G81" s="18">
        <f>0.84/2</f>
        <v>0.42</v>
      </c>
      <c r="H81" s="18">
        <f>0.08/2</f>
        <v>0.04</v>
      </c>
      <c r="I81" s="9">
        <f t="shared" si="1"/>
        <v>15.04</v>
      </c>
      <c r="J81" s="19"/>
      <c r="K81" s="19"/>
      <c r="L81" s="19"/>
    </row>
    <row r="82" spans="1:12" s="20" customFormat="1" ht="21" customHeight="1">
      <c r="A82" s="27"/>
      <c r="B82" s="26" t="s">
        <v>177</v>
      </c>
      <c r="C82" s="26" t="s">
        <v>370</v>
      </c>
      <c r="D82" s="12">
        <v>60006587652</v>
      </c>
      <c r="E82" s="33" t="s">
        <v>178</v>
      </c>
      <c r="F82" s="15">
        <f>187.52/2</f>
        <v>93.76</v>
      </c>
      <c r="G82" s="15">
        <f>5.53/2</f>
        <v>2.765</v>
      </c>
      <c r="H82" s="15">
        <f>0.22/2</f>
        <v>0.11</v>
      </c>
      <c r="I82" s="9">
        <f t="shared" si="1"/>
        <v>96.635</v>
      </c>
      <c r="J82" s="19"/>
      <c r="K82" s="19"/>
      <c r="L82" s="19"/>
    </row>
    <row r="83" spans="1:12" ht="21" customHeight="1">
      <c r="A83" s="27"/>
      <c r="B83" s="26" t="s">
        <v>179</v>
      </c>
      <c r="C83" s="26" t="s">
        <v>334</v>
      </c>
      <c r="D83" s="12">
        <v>60006587671</v>
      </c>
      <c r="E83" s="30" t="s">
        <v>180</v>
      </c>
      <c r="F83" s="8">
        <f>157.27/2</f>
        <v>78.635</v>
      </c>
      <c r="G83" s="8">
        <f>4.62/2</f>
        <v>2.31</v>
      </c>
      <c r="H83" s="8">
        <f>0.22/2</f>
        <v>0.11</v>
      </c>
      <c r="I83" s="9">
        <f t="shared" si="1"/>
        <v>81.055</v>
      </c>
      <c r="J83" s="19"/>
      <c r="K83" s="19"/>
      <c r="L83" s="19"/>
    </row>
    <row r="84" spans="1:12" ht="21" customHeight="1">
      <c r="A84" s="27"/>
      <c r="B84" s="26" t="s">
        <v>181</v>
      </c>
      <c r="C84" s="26" t="s">
        <v>335</v>
      </c>
      <c r="D84" s="12">
        <v>60006593566</v>
      </c>
      <c r="E84" s="30" t="s">
        <v>182</v>
      </c>
      <c r="F84" s="8">
        <f>118.23/2</f>
        <v>59.115</v>
      </c>
      <c r="G84" s="8">
        <f>3.51/2</f>
        <v>1.755</v>
      </c>
      <c r="H84" s="8">
        <f>0.08/2</f>
        <v>0.04</v>
      </c>
      <c r="I84" s="9">
        <f t="shared" si="1"/>
        <v>60.910000000000004</v>
      </c>
      <c r="J84" s="19"/>
      <c r="K84" s="19"/>
      <c r="L84" s="19"/>
    </row>
    <row r="85" spans="1:12" ht="21" customHeight="1">
      <c r="A85" s="27"/>
      <c r="B85" s="26" t="s">
        <v>183</v>
      </c>
      <c r="C85" s="26" t="s">
        <v>336</v>
      </c>
      <c r="D85" s="12">
        <v>60006601563</v>
      </c>
      <c r="E85" s="30" t="s">
        <v>184</v>
      </c>
      <c r="F85" s="8">
        <f>129.24/2</f>
        <v>64.62</v>
      </c>
      <c r="G85" s="8">
        <f>3.88/2</f>
        <v>1.94</v>
      </c>
      <c r="H85" s="8">
        <v>0</v>
      </c>
      <c r="I85" s="9">
        <f t="shared" si="1"/>
        <v>66.56</v>
      </c>
      <c r="J85" s="19"/>
      <c r="K85" s="19"/>
      <c r="L85" s="19"/>
    </row>
    <row r="86" spans="1:12" s="20" customFormat="1" ht="21" customHeight="1">
      <c r="A86" s="27"/>
      <c r="B86" s="26" t="s">
        <v>185</v>
      </c>
      <c r="C86" s="26" t="s">
        <v>310</v>
      </c>
      <c r="D86" s="12">
        <v>60006630551</v>
      </c>
      <c r="E86" s="30" t="s">
        <v>186</v>
      </c>
      <c r="F86" s="8">
        <f>208.48/2</f>
        <v>104.24</v>
      </c>
      <c r="G86" s="8">
        <f>6.16/2</f>
        <v>3.08</v>
      </c>
      <c r="H86" s="8">
        <f>0.22/2</f>
        <v>0.11</v>
      </c>
      <c r="I86" s="9">
        <f t="shared" si="1"/>
        <v>107.42999999999999</v>
      </c>
      <c r="J86" s="19"/>
      <c r="K86" s="19"/>
      <c r="L86" s="19"/>
    </row>
    <row r="87" spans="1:12" s="29" customFormat="1" ht="21" customHeight="1">
      <c r="A87" s="27"/>
      <c r="B87" s="26" t="s">
        <v>187</v>
      </c>
      <c r="C87" s="26" t="s">
        <v>287</v>
      </c>
      <c r="D87" s="12">
        <v>60006631759</v>
      </c>
      <c r="E87" s="30" t="s">
        <v>188</v>
      </c>
      <c r="F87" s="8">
        <f>111.45/2</f>
        <v>55.725</v>
      </c>
      <c r="G87" s="8">
        <f>3.31/2</f>
        <v>1.655</v>
      </c>
      <c r="H87" s="8">
        <f>0.08/2</f>
        <v>0.04</v>
      </c>
      <c r="I87" s="9">
        <f t="shared" si="1"/>
        <v>57.42</v>
      </c>
      <c r="J87" s="19"/>
      <c r="K87" s="19"/>
      <c r="L87" s="19"/>
    </row>
    <row r="88" spans="1:12" s="29" customFormat="1" ht="21" customHeight="1">
      <c r="A88" s="27"/>
      <c r="B88" s="26" t="s">
        <v>189</v>
      </c>
      <c r="C88" s="26" t="s">
        <v>339</v>
      </c>
      <c r="D88" s="12">
        <v>60006631974</v>
      </c>
      <c r="E88" s="30" t="s">
        <v>190</v>
      </c>
      <c r="F88" s="8">
        <v>258.08</v>
      </c>
      <c r="G88" s="8">
        <v>7.72</v>
      </c>
      <c r="H88" s="8">
        <v>0.06</v>
      </c>
      <c r="I88" s="9">
        <f t="shared" si="1"/>
        <v>265.86</v>
      </c>
      <c r="J88" s="19"/>
      <c r="K88" s="19"/>
      <c r="L88" s="19"/>
    </row>
    <row r="89" spans="1:9" ht="21" customHeight="1">
      <c r="A89" s="27"/>
      <c r="B89" s="26" t="s">
        <v>191</v>
      </c>
      <c r="C89" s="26" t="s">
        <v>356</v>
      </c>
      <c r="D89" s="12">
        <v>60007843337</v>
      </c>
      <c r="E89" s="30" t="s">
        <v>192</v>
      </c>
      <c r="F89" s="8">
        <f>187.89/2</f>
        <v>93.945</v>
      </c>
      <c r="G89" s="8">
        <f>5.6/2</f>
        <v>2.8</v>
      </c>
      <c r="H89" s="8">
        <f>0.08/2</f>
        <v>0.04</v>
      </c>
      <c r="I89" s="9">
        <f t="shared" si="1"/>
        <v>96.785</v>
      </c>
    </row>
    <row r="90" spans="1:9" ht="21" customHeight="1">
      <c r="A90" s="27"/>
      <c r="B90" s="26" t="s">
        <v>193</v>
      </c>
      <c r="C90" s="26" t="s">
        <v>305</v>
      </c>
      <c r="D90" s="12">
        <v>60006631992</v>
      </c>
      <c r="E90" s="30" t="s">
        <v>194</v>
      </c>
      <c r="F90" s="8">
        <v>249.97</v>
      </c>
      <c r="G90" s="8">
        <v>7.46</v>
      </c>
      <c r="H90" s="8">
        <v>0.1</v>
      </c>
      <c r="I90" s="9">
        <f t="shared" si="1"/>
        <v>257.53000000000003</v>
      </c>
    </row>
    <row r="91" spans="1:9" ht="21" customHeight="1">
      <c r="A91" s="27"/>
      <c r="B91" s="26" t="s">
        <v>195</v>
      </c>
      <c r="C91" s="26" t="s">
        <v>341</v>
      </c>
      <c r="D91" s="12">
        <v>60006632013</v>
      </c>
      <c r="E91" s="30" t="s">
        <v>196</v>
      </c>
      <c r="F91" s="8">
        <f>36.55/2</f>
        <v>18.275</v>
      </c>
      <c r="G91" s="8">
        <f>1.06/2</f>
        <v>0.53</v>
      </c>
      <c r="H91" s="8">
        <f>0.08/2</f>
        <v>0.04</v>
      </c>
      <c r="I91" s="9">
        <f t="shared" si="1"/>
        <v>18.845</v>
      </c>
    </row>
    <row r="92" spans="1:9" ht="21" customHeight="1">
      <c r="A92" s="27"/>
      <c r="B92" s="26" t="s">
        <v>197</v>
      </c>
      <c r="C92" s="26" t="s">
        <v>288</v>
      </c>
      <c r="D92" s="12">
        <v>60006632028</v>
      </c>
      <c r="E92" s="30" t="s">
        <v>198</v>
      </c>
      <c r="F92" s="8">
        <f>581.12/2</f>
        <v>290.56</v>
      </c>
      <c r="G92" s="8">
        <f>17.34/2</f>
        <v>8.67</v>
      </c>
      <c r="H92" s="8">
        <f>0.21/2</f>
        <v>0.105</v>
      </c>
      <c r="I92" s="9">
        <f t="shared" si="1"/>
        <v>299.33500000000004</v>
      </c>
    </row>
    <row r="93" spans="1:9" ht="21" customHeight="1">
      <c r="A93" s="27"/>
      <c r="B93" s="26" t="s">
        <v>199</v>
      </c>
      <c r="C93" s="26" t="s">
        <v>342</v>
      </c>
      <c r="D93" s="12">
        <v>60006632034</v>
      </c>
      <c r="E93" s="30" t="s">
        <v>200</v>
      </c>
      <c r="F93" s="8">
        <v>38.47</v>
      </c>
      <c r="G93" s="8">
        <v>1.13</v>
      </c>
      <c r="H93" s="8">
        <v>0.05</v>
      </c>
      <c r="I93" s="9">
        <f t="shared" si="1"/>
        <v>39.65</v>
      </c>
    </row>
    <row r="94" spans="1:9" ht="21" customHeight="1">
      <c r="A94" s="27"/>
      <c r="B94" s="26" t="s">
        <v>201</v>
      </c>
      <c r="C94" s="26" t="s">
        <v>343</v>
      </c>
      <c r="D94" s="12">
        <v>60006637176</v>
      </c>
      <c r="E94" s="30" t="s">
        <v>202</v>
      </c>
      <c r="F94" s="8">
        <f>79.1/2</f>
        <v>39.55</v>
      </c>
      <c r="G94" s="8">
        <f>2.37/2</f>
        <v>1.185</v>
      </c>
      <c r="H94" s="8">
        <v>0</v>
      </c>
      <c r="I94" s="9">
        <f t="shared" si="1"/>
        <v>40.735</v>
      </c>
    </row>
    <row r="95" spans="1:9" ht="21" customHeight="1">
      <c r="A95" s="27"/>
      <c r="B95" s="26" t="s">
        <v>203</v>
      </c>
      <c r="C95" s="93"/>
      <c r="D95" s="12">
        <v>60006637235</v>
      </c>
      <c r="E95" s="30" t="s">
        <v>204</v>
      </c>
      <c r="F95" s="8">
        <f>29.12/2</f>
        <v>14.56</v>
      </c>
      <c r="G95" s="8">
        <f>0.84/2</f>
        <v>0.42</v>
      </c>
      <c r="H95" s="8">
        <f>0.08/2</f>
        <v>0.04</v>
      </c>
      <c r="I95" s="9">
        <f t="shared" si="1"/>
        <v>15.02</v>
      </c>
    </row>
    <row r="96" spans="1:9" ht="21" customHeight="1">
      <c r="A96" s="27"/>
      <c r="B96" s="26" t="s">
        <v>205</v>
      </c>
      <c r="C96" s="26" t="s">
        <v>306</v>
      </c>
      <c r="D96" s="12">
        <v>60006637714</v>
      </c>
      <c r="E96" s="30" t="s">
        <v>206</v>
      </c>
      <c r="F96" s="8">
        <f>85.12/2</f>
        <v>42.56</v>
      </c>
      <c r="G96" s="8">
        <f>2.46/2</f>
        <v>1.23</v>
      </c>
      <c r="H96" s="8">
        <f>0.21/2</f>
        <v>0.105</v>
      </c>
      <c r="I96" s="9">
        <f t="shared" si="1"/>
        <v>43.894999999999996</v>
      </c>
    </row>
    <row r="97" spans="1:9" ht="21" customHeight="1">
      <c r="A97" s="27"/>
      <c r="B97" s="26" t="s">
        <v>207</v>
      </c>
      <c r="C97" s="93"/>
      <c r="D97" s="12">
        <v>60006642108</v>
      </c>
      <c r="E97" s="30" t="s">
        <v>208</v>
      </c>
      <c r="F97" s="8">
        <f>29.12/2</f>
        <v>14.56</v>
      </c>
      <c r="G97" s="8">
        <f>0.84/2</f>
        <v>0.42</v>
      </c>
      <c r="H97" s="8">
        <f>0.08/2</f>
        <v>0.04</v>
      </c>
      <c r="I97" s="9">
        <f t="shared" si="1"/>
        <v>15.02</v>
      </c>
    </row>
    <row r="98" spans="1:9" ht="21" customHeight="1">
      <c r="A98" s="27"/>
      <c r="B98" s="26" t="s">
        <v>209</v>
      </c>
      <c r="C98" s="93"/>
      <c r="D98" s="12">
        <v>60006642114</v>
      </c>
      <c r="E98" s="30" t="s">
        <v>210</v>
      </c>
      <c r="F98" s="8">
        <f>29.12/2</f>
        <v>14.56</v>
      </c>
      <c r="G98" s="8">
        <f>0.84/2</f>
        <v>0.42</v>
      </c>
      <c r="H98" s="8">
        <f>0.08/2</f>
        <v>0.04</v>
      </c>
      <c r="I98" s="9">
        <f t="shared" si="1"/>
        <v>15.02</v>
      </c>
    </row>
    <row r="99" spans="1:9" ht="21" customHeight="1">
      <c r="A99" s="27"/>
      <c r="B99" s="26" t="s">
        <v>211</v>
      </c>
      <c r="C99" s="26" t="s">
        <v>290</v>
      </c>
      <c r="D99" s="12">
        <v>60006644426</v>
      </c>
      <c r="E99" s="30" t="s">
        <v>212</v>
      </c>
      <c r="F99" s="8">
        <v>54.65</v>
      </c>
      <c r="G99" s="8">
        <v>1.62</v>
      </c>
      <c r="H99" s="8">
        <v>0.05</v>
      </c>
      <c r="I99" s="9">
        <f t="shared" si="1"/>
        <v>56.31999999999999</v>
      </c>
    </row>
    <row r="100" spans="1:9" ht="21" customHeight="1">
      <c r="A100" s="27"/>
      <c r="B100" s="26" t="s">
        <v>213</v>
      </c>
      <c r="C100" s="93"/>
      <c r="D100" s="12">
        <v>60006644431</v>
      </c>
      <c r="E100" s="30" t="s">
        <v>214</v>
      </c>
      <c r="F100" s="8">
        <v>82.78</v>
      </c>
      <c r="G100" s="8">
        <v>2.46</v>
      </c>
      <c r="H100" s="8">
        <v>0.05</v>
      </c>
      <c r="I100" s="9">
        <f t="shared" si="1"/>
        <v>85.28999999999999</v>
      </c>
    </row>
    <row r="101" spans="1:9" ht="21" customHeight="1">
      <c r="A101" s="27"/>
      <c r="B101" s="26" t="s">
        <v>215</v>
      </c>
      <c r="C101" s="26" t="s">
        <v>344</v>
      </c>
      <c r="D101" s="12">
        <v>60006644654</v>
      </c>
      <c r="E101" s="30" t="s">
        <v>216</v>
      </c>
      <c r="F101" s="18">
        <f>45.39/2</f>
        <v>22.695</v>
      </c>
      <c r="G101" s="18">
        <f>1.33/2</f>
        <v>0.665</v>
      </c>
      <c r="H101" s="18">
        <f>0.08/2</f>
        <v>0.04</v>
      </c>
      <c r="I101" s="87">
        <f t="shared" si="1"/>
        <v>23.4</v>
      </c>
    </row>
    <row r="102" spans="1:9" ht="21" customHeight="1">
      <c r="A102" s="27"/>
      <c r="B102" s="26" t="s">
        <v>217</v>
      </c>
      <c r="C102" s="93"/>
      <c r="D102" s="12">
        <v>60007182237</v>
      </c>
      <c r="E102" s="30" t="s">
        <v>218</v>
      </c>
      <c r="F102" s="8"/>
      <c r="G102" s="8"/>
      <c r="H102" s="8"/>
      <c r="I102" s="9">
        <f t="shared" si="1"/>
        <v>0</v>
      </c>
    </row>
    <row r="103" spans="1:9" ht="21" customHeight="1">
      <c r="A103" s="27"/>
      <c r="B103" s="26" t="s">
        <v>219</v>
      </c>
      <c r="C103" s="26" t="s">
        <v>354</v>
      </c>
      <c r="D103" s="12">
        <v>60007843211</v>
      </c>
      <c r="E103" s="30" t="s">
        <v>220</v>
      </c>
      <c r="F103" s="8">
        <v>33.12</v>
      </c>
      <c r="G103" s="8">
        <v>0.97</v>
      </c>
      <c r="H103" s="8">
        <v>0.05</v>
      </c>
      <c r="I103" s="9">
        <f t="shared" si="1"/>
        <v>34.13999999999999</v>
      </c>
    </row>
    <row r="104" spans="1:9" ht="21" customHeight="1">
      <c r="A104" s="27"/>
      <c r="B104" s="26" t="s">
        <v>221</v>
      </c>
      <c r="C104" s="26" t="s">
        <v>355</v>
      </c>
      <c r="D104" s="12">
        <v>60007843225</v>
      </c>
      <c r="E104" s="30" t="s">
        <v>222</v>
      </c>
      <c r="F104" s="8">
        <v>11.39</v>
      </c>
      <c r="G104" s="8">
        <v>0.32</v>
      </c>
      <c r="H104" s="8">
        <v>0.05</v>
      </c>
      <c r="I104" s="9">
        <f t="shared" si="1"/>
        <v>11.760000000000002</v>
      </c>
    </row>
    <row r="105" spans="1:9" ht="21" customHeight="1">
      <c r="A105" s="27"/>
      <c r="B105" s="26" t="s">
        <v>223</v>
      </c>
      <c r="C105" s="26" t="s">
        <v>347</v>
      </c>
      <c r="D105" s="12">
        <v>60007211343</v>
      </c>
      <c r="E105" s="30" t="s">
        <v>224</v>
      </c>
      <c r="F105" s="8">
        <v>10.37</v>
      </c>
      <c r="G105" s="8">
        <v>0.31</v>
      </c>
      <c r="H105" s="8">
        <v>0</v>
      </c>
      <c r="I105" s="9">
        <f t="shared" si="1"/>
        <v>10.68</v>
      </c>
    </row>
    <row r="106" spans="1:9" ht="21" customHeight="1">
      <c r="A106" s="27"/>
      <c r="B106" s="26" t="s">
        <v>225</v>
      </c>
      <c r="C106" s="26" t="s">
        <v>346</v>
      </c>
      <c r="D106" s="12">
        <v>60007211339</v>
      </c>
      <c r="E106" s="30" t="s">
        <v>226</v>
      </c>
      <c r="F106" s="8">
        <f>107.37/2</f>
        <v>53.685</v>
      </c>
      <c r="G106" s="8">
        <f>3.13/2</f>
        <v>1.565</v>
      </c>
      <c r="H106" s="8">
        <f>0.21/2</f>
        <v>0.105</v>
      </c>
      <c r="I106" s="9">
        <f t="shared" si="1"/>
        <v>55.355</v>
      </c>
    </row>
    <row r="107" spans="1:9" ht="21" customHeight="1">
      <c r="A107" s="27"/>
      <c r="B107" s="26" t="s">
        <v>227</v>
      </c>
      <c r="C107" s="26" t="s">
        <v>291</v>
      </c>
      <c r="D107" s="12">
        <v>60007239731</v>
      </c>
      <c r="E107" s="30" t="s">
        <v>228</v>
      </c>
      <c r="F107" s="8">
        <f>350.55/2</f>
        <v>175.275</v>
      </c>
      <c r="G107" s="8">
        <f>10.48/2</f>
        <v>5.24</v>
      </c>
      <c r="H107" s="8">
        <f>0.08/2</f>
        <v>0.04</v>
      </c>
      <c r="I107" s="9">
        <f t="shared" si="1"/>
        <v>180.555</v>
      </c>
    </row>
    <row r="108" spans="1:9" ht="21" customHeight="1">
      <c r="A108" s="27"/>
      <c r="B108" s="26" t="s">
        <v>229</v>
      </c>
      <c r="C108" s="26" t="s">
        <v>348</v>
      </c>
      <c r="D108" s="12">
        <v>60007483419</v>
      </c>
      <c r="E108" s="30" t="s">
        <v>230</v>
      </c>
      <c r="F108" s="8">
        <f>54.76/2</f>
        <v>27.38</v>
      </c>
      <c r="G108" s="8">
        <f>1.61/2</f>
        <v>0.805</v>
      </c>
      <c r="H108" s="8">
        <f>0.08/2</f>
        <v>0.04</v>
      </c>
      <c r="I108" s="9">
        <f t="shared" si="1"/>
        <v>28.224999999999998</v>
      </c>
    </row>
    <row r="109" spans="1:9" ht="21" customHeight="1">
      <c r="A109" s="27"/>
      <c r="B109" s="26" t="s">
        <v>231</v>
      </c>
      <c r="C109" s="26" t="s">
        <v>301</v>
      </c>
      <c r="D109" s="12">
        <v>60006579638</v>
      </c>
      <c r="E109" s="30" t="s">
        <v>232</v>
      </c>
      <c r="F109" s="8">
        <v>10.64</v>
      </c>
      <c r="G109" s="8">
        <v>0.3</v>
      </c>
      <c r="H109" s="8">
        <v>0.05</v>
      </c>
      <c r="I109" s="9">
        <f t="shared" si="1"/>
        <v>10.990000000000002</v>
      </c>
    </row>
    <row r="110" spans="1:9" ht="21" customHeight="1">
      <c r="A110" s="27"/>
      <c r="B110" s="26" t="s">
        <v>233</v>
      </c>
      <c r="C110" s="26" t="s">
        <v>349</v>
      </c>
      <c r="D110" s="12">
        <v>60006579657</v>
      </c>
      <c r="E110" s="30" t="s">
        <v>234</v>
      </c>
      <c r="F110" s="8">
        <v>102.59</v>
      </c>
      <c r="G110" s="8">
        <v>3.06</v>
      </c>
      <c r="H110" s="8">
        <v>0.05</v>
      </c>
      <c r="I110" s="9">
        <f t="shared" si="1"/>
        <v>105.7</v>
      </c>
    </row>
    <row r="111" spans="1:9" ht="21" customHeight="1">
      <c r="A111" s="27"/>
      <c r="B111" s="26" t="s">
        <v>235</v>
      </c>
      <c r="C111" s="93"/>
      <c r="D111" s="12">
        <v>60006579676</v>
      </c>
      <c r="E111" s="30" t="s">
        <v>236</v>
      </c>
      <c r="F111" s="8">
        <v>12.34</v>
      </c>
      <c r="G111" s="8">
        <v>0.35</v>
      </c>
      <c r="H111" s="8">
        <v>0.05</v>
      </c>
      <c r="I111" s="9">
        <f t="shared" si="1"/>
        <v>12.74</v>
      </c>
    </row>
    <row r="112" spans="1:9" ht="21" customHeight="1">
      <c r="A112" s="27"/>
      <c r="B112" s="26" t="s">
        <v>237</v>
      </c>
      <c r="C112" s="26" t="s">
        <v>351</v>
      </c>
      <c r="D112" s="12">
        <v>60007631681</v>
      </c>
      <c r="E112" s="30" t="s">
        <v>238</v>
      </c>
      <c r="F112" s="8">
        <v>12.42</v>
      </c>
      <c r="G112" s="8">
        <v>0.35</v>
      </c>
      <c r="H112" s="8">
        <v>0.05</v>
      </c>
      <c r="I112" s="9">
        <f t="shared" si="1"/>
        <v>12.82</v>
      </c>
    </row>
    <row r="113" spans="1:9" ht="21" customHeight="1">
      <c r="A113" s="27"/>
      <c r="B113" s="26" t="s">
        <v>239</v>
      </c>
      <c r="C113" s="26" t="s">
        <v>357</v>
      </c>
      <c r="D113" s="12">
        <v>60007848373</v>
      </c>
      <c r="E113" s="30" t="s">
        <v>240</v>
      </c>
      <c r="F113" s="8">
        <f>302.21/2</f>
        <v>151.105</v>
      </c>
      <c r="G113" s="8">
        <f>8.97/2</f>
        <v>4.485</v>
      </c>
      <c r="H113" s="8">
        <f>0.21/2</f>
        <v>0.105</v>
      </c>
      <c r="I113" s="9">
        <f t="shared" si="1"/>
        <v>155.695</v>
      </c>
    </row>
    <row r="114" spans="1:9" ht="21" customHeight="1">
      <c r="A114" s="27"/>
      <c r="B114" s="26" t="s">
        <v>241</v>
      </c>
      <c r="C114" s="26" t="s">
        <v>338</v>
      </c>
      <c r="D114" s="12">
        <v>60006631880</v>
      </c>
      <c r="E114" s="30" t="s">
        <v>242</v>
      </c>
      <c r="F114" s="8">
        <f>70.32/2</f>
        <v>35.16</v>
      </c>
      <c r="G114" s="8">
        <f>2.08/2</f>
        <v>1.04</v>
      </c>
      <c r="H114" s="8">
        <f>0.08/2</f>
        <v>0.04</v>
      </c>
      <c r="I114" s="9">
        <f t="shared" si="1"/>
        <v>36.239999999999995</v>
      </c>
    </row>
    <row r="115" spans="1:9" ht="21" customHeight="1">
      <c r="A115" s="27"/>
      <c r="B115" s="26" t="s">
        <v>243</v>
      </c>
      <c r="C115" s="26" t="s">
        <v>320</v>
      </c>
      <c r="D115" s="12">
        <v>60006631920</v>
      </c>
      <c r="E115" s="30" t="s">
        <v>244</v>
      </c>
      <c r="F115" s="8">
        <f>326.07/2</f>
        <v>163.035</v>
      </c>
      <c r="G115" s="8">
        <f>9.7/2</f>
        <v>4.85</v>
      </c>
      <c r="H115" s="8">
        <f>0.2/2</f>
        <v>0.1</v>
      </c>
      <c r="I115" s="9">
        <f t="shared" si="1"/>
        <v>167.98499999999999</v>
      </c>
    </row>
    <row r="116" spans="1:9" ht="21" customHeight="1">
      <c r="A116" s="27"/>
      <c r="B116" s="26" t="s">
        <v>245</v>
      </c>
      <c r="C116" s="26" t="s">
        <v>340</v>
      </c>
      <c r="D116" s="12">
        <v>60006631987</v>
      </c>
      <c r="E116" s="30" t="s">
        <v>246</v>
      </c>
      <c r="F116" s="8">
        <f>584.32/2</f>
        <v>292.16</v>
      </c>
      <c r="G116" s="8">
        <f>17.44/2</f>
        <v>8.72</v>
      </c>
      <c r="H116" s="8">
        <f>0.22/2</f>
        <v>0.11</v>
      </c>
      <c r="I116" s="9">
        <f t="shared" si="1"/>
        <v>300.99000000000007</v>
      </c>
    </row>
    <row r="117" spans="1:9" ht="21" customHeight="1">
      <c r="A117" s="27"/>
      <c r="B117" s="26" t="s">
        <v>247</v>
      </c>
      <c r="C117" s="26" t="s">
        <v>373</v>
      </c>
      <c r="D117" s="12">
        <v>60006632009</v>
      </c>
      <c r="E117" s="30" t="s">
        <v>248</v>
      </c>
      <c r="F117" s="8">
        <f>502.96/2</f>
        <v>251.48</v>
      </c>
      <c r="G117" s="8">
        <f>14.99/2</f>
        <v>7.495</v>
      </c>
      <c r="H117" s="8">
        <f>0.24/2</f>
        <v>0.12</v>
      </c>
      <c r="I117" s="9">
        <f t="shared" si="1"/>
        <v>259.09499999999997</v>
      </c>
    </row>
    <row r="118" spans="1:9" ht="21" customHeight="1">
      <c r="A118" s="27"/>
      <c r="B118" s="26" t="s">
        <v>249</v>
      </c>
      <c r="C118" s="26" t="s">
        <v>350</v>
      </c>
      <c r="D118" s="12">
        <v>60007611240</v>
      </c>
      <c r="E118" s="30" t="s">
        <v>250</v>
      </c>
      <c r="F118" s="8">
        <f>434.77/2</f>
        <v>217.385</v>
      </c>
      <c r="G118" s="8">
        <f>13.01/2</f>
        <v>6.505</v>
      </c>
      <c r="H118" s="8">
        <f>0.07/2</f>
        <v>0.035</v>
      </c>
      <c r="I118" s="9">
        <f t="shared" si="1"/>
        <v>223.92499999999998</v>
      </c>
    </row>
    <row r="119" spans="1:9" ht="21" customHeight="1">
      <c r="A119" s="27"/>
      <c r="B119" s="26" t="s">
        <v>251</v>
      </c>
      <c r="C119" s="26" t="s">
        <v>337</v>
      </c>
      <c r="D119" s="12">
        <v>60006613294</v>
      </c>
      <c r="E119" s="30" t="s">
        <v>252</v>
      </c>
      <c r="F119" s="8">
        <f>43.8/2</f>
        <v>21.9</v>
      </c>
      <c r="G119" s="8">
        <f>1.31/2</f>
        <v>0.655</v>
      </c>
      <c r="H119" s="8">
        <v>0</v>
      </c>
      <c r="I119" s="9">
        <f t="shared" si="1"/>
        <v>22.555</v>
      </c>
    </row>
    <row r="120" spans="1:9" ht="21" customHeight="1">
      <c r="A120" s="27"/>
      <c r="B120" s="26" t="s">
        <v>253</v>
      </c>
      <c r="C120" s="26" t="s">
        <v>303</v>
      </c>
      <c r="D120" s="12">
        <v>60006631725</v>
      </c>
      <c r="E120" s="30" t="s">
        <v>254</v>
      </c>
      <c r="F120" s="8">
        <f>233.11/2</f>
        <v>116.555</v>
      </c>
      <c r="G120" s="8">
        <f>6.96/2</f>
        <v>3.48</v>
      </c>
      <c r="H120" s="8">
        <f>0.08/2</f>
        <v>0.04</v>
      </c>
      <c r="I120" s="9">
        <f aca="true" t="shared" si="2" ref="I120:I130">SUM(F120:H120)</f>
        <v>120.07500000000002</v>
      </c>
    </row>
    <row r="121" spans="1:9" ht="21" customHeight="1">
      <c r="A121" s="27"/>
      <c r="B121" s="26" t="s">
        <v>255</v>
      </c>
      <c r="C121" s="26" t="s">
        <v>304</v>
      </c>
      <c r="D121" s="12">
        <v>60006631818</v>
      </c>
      <c r="E121" s="30" t="s">
        <v>256</v>
      </c>
      <c r="F121" s="8">
        <f>20.31*0.25+14.39/2</f>
        <v>12.2725</v>
      </c>
      <c r="G121" s="8">
        <f>0.59*0.25+0.41/2</f>
        <v>0.3525</v>
      </c>
      <c r="H121" s="8">
        <f>0.05*0.25+0.05/2</f>
        <v>0.037500000000000006</v>
      </c>
      <c r="I121" s="9">
        <f t="shared" si="2"/>
        <v>12.6625</v>
      </c>
    </row>
    <row r="122" spans="1:9" ht="21" customHeight="1">
      <c r="A122" s="28"/>
      <c r="B122" s="25" t="s">
        <v>257</v>
      </c>
      <c r="C122" s="95"/>
      <c r="D122" s="14">
        <v>60006631824</v>
      </c>
      <c r="E122" s="45" t="s">
        <v>258</v>
      </c>
      <c r="F122" s="15">
        <f>1369.16*0.25+1115.13*0.25</f>
        <v>621.0725</v>
      </c>
      <c r="G122" s="15">
        <f>40.99*0.25+33.37*0.25</f>
        <v>18.59</v>
      </c>
      <c r="H122" s="15">
        <f>0.2*0.25+0.19*0.25</f>
        <v>0.0975</v>
      </c>
      <c r="I122" s="9">
        <f t="shared" si="2"/>
        <v>639.76</v>
      </c>
    </row>
    <row r="123" spans="1:9" ht="21" customHeight="1">
      <c r="A123" s="28"/>
      <c r="B123" s="25" t="s">
        <v>259</v>
      </c>
      <c r="C123" s="25" t="s">
        <v>345</v>
      </c>
      <c r="D123" s="14">
        <v>60006872372</v>
      </c>
      <c r="E123" s="45" t="s">
        <v>260</v>
      </c>
      <c r="F123" s="15">
        <v>28.2</v>
      </c>
      <c r="G123" s="15">
        <v>0.82</v>
      </c>
      <c r="H123" s="15">
        <v>0.05</v>
      </c>
      <c r="I123" s="9">
        <f t="shared" si="2"/>
        <v>29.07</v>
      </c>
    </row>
    <row r="124" spans="1:9" ht="21" customHeight="1">
      <c r="A124" s="28"/>
      <c r="B124" s="25" t="s">
        <v>261</v>
      </c>
      <c r="C124" s="25" t="s">
        <v>321</v>
      </c>
      <c r="D124" s="14">
        <v>60006974384</v>
      </c>
      <c r="E124" s="45" t="s">
        <v>262</v>
      </c>
      <c r="F124" s="15">
        <f>212.98/2</f>
        <v>106.49</v>
      </c>
      <c r="G124" s="15">
        <f>6.36/2</f>
        <v>3.18</v>
      </c>
      <c r="H124" s="15">
        <f>0.08/2</f>
        <v>0.04</v>
      </c>
      <c r="I124" s="9">
        <f t="shared" si="2"/>
        <v>109.71000000000001</v>
      </c>
    </row>
    <row r="125" spans="1:9" ht="21" customHeight="1">
      <c r="A125" s="28"/>
      <c r="B125" s="25" t="s">
        <v>263</v>
      </c>
      <c r="C125" s="25" t="s">
        <v>368</v>
      </c>
      <c r="D125" s="14">
        <v>60006581324</v>
      </c>
      <c r="E125" s="45" t="s">
        <v>264</v>
      </c>
      <c r="F125" s="15">
        <v>399.93</v>
      </c>
      <c r="G125" s="15">
        <v>11.96</v>
      </c>
      <c r="H125" s="15">
        <v>0.09</v>
      </c>
      <c r="I125" s="9">
        <f t="shared" si="2"/>
        <v>411.97999999999996</v>
      </c>
    </row>
    <row r="126" spans="1:9" ht="21" customHeight="1">
      <c r="A126" s="28"/>
      <c r="B126" s="25" t="s">
        <v>265</v>
      </c>
      <c r="C126" s="25" t="s">
        <v>352</v>
      </c>
      <c r="D126" s="14">
        <v>60007651627</v>
      </c>
      <c r="E126" s="45" t="s">
        <v>266</v>
      </c>
      <c r="F126" s="15">
        <v>14.88</v>
      </c>
      <c r="G126" s="15">
        <v>0.42</v>
      </c>
      <c r="H126" s="15">
        <v>0.05</v>
      </c>
      <c r="I126" s="9">
        <f t="shared" si="2"/>
        <v>15.350000000000001</v>
      </c>
    </row>
    <row r="127" spans="1:9" ht="21" customHeight="1">
      <c r="A127" s="28"/>
      <c r="B127" s="25" t="s">
        <v>267</v>
      </c>
      <c r="C127" s="95"/>
      <c r="D127" s="14">
        <v>83007351147</v>
      </c>
      <c r="E127" s="45" t="s">
        <v>268</v>
      </c>
      <c r="F127" s="15">
        <v>11.17</v>
      </c>
      <c r="G127" s="15">
        <v>0.31</v>
      </c>
      <c r="H127" s="15">
        <v>0.05</v>
      </c>
      <c r="I127" s="9">
        <f t="shared" si="2"/>
        <v>11.530000000000001</v>
      </c>
    </row>
    <row r="128" spans="1:9" ht="21" customHeight="1">
      <c r="A128" s="28"/>
      <c r="B128" s="25" t="s">
        <v>269</v>
      </c>
      <c r="C128" s="25"/>
      <c r="D128" s="14">
        <v>83007705623</v>
      </c>
      <c r="E128" s="45" t="s">
        <v>270</v>
      </c>
      <c r="F128" s="15">
        <v>18.78</v>
      </c>
      <c r="G128" s="15">
        <v>0.54</v>
      </c>
      <c r="H128" s="15">
        <v>0.05</v>
      </c>
      <c r="I128" s="9">
        <f t="shared" si="2"/>
        <v>19.37</v>
      </c>
    </row>
    <row r="129" spans="1:9" ht="21" customHeight="1">
      <c r="A129" s="28"/>
      <c r="B129" s="25" t="s">
        <v>271</v>
      </c>
      <c r="C129" s="25"/>
      <c r="D129" s="14">
        <v>83007812488</v>
      </c>
      <c r="E129" s="45" t="s">
        <v>272</v>
      </c>
      <c r="F129" s="15">
        <v>59.4</v>
      </c>
      <c r="G129" s="15">
        <v>1.76</v>
      </c>
      <c r="H129" s="15">
        <v>0.05</v>
      </c>
      <c r="I129" s="9">
        <f t="shared" si="2"/>
        <v>61.209999999999994</v>
      </c>
    </row>
    <row r="130" spans="1:9" ht="21" customHeight="1">
      <c r="A130" s="28"/>
      <c r="B130" s="25" t="s">
        <v>273</v>
      </c>
      <c r="C130" s="25"/>
      <c r="D130" s="14">
        <v>83007946440</v>
      </c>
      <c r="E130" s="45" t="s">
        <v>274</v>
      </c>
      <c r="F130" s="15"/>
      <c r="G130" s="15"/>
      <c r="H130" s="15"/>
      <c r="I130" s="9">
        <f t="shared" si="2"/>
        <v>0</v>
      </c>
    </row>
    <row r="131" spans="1:9" ht="21" customHeight="1" thickBot="1">
      <c r="A131" s="10" t="s">
        <v>0</v>
      </c>
      <c r="B131" s="24"/>
      <c r="C131" s="24"/>
      <c r="D131" s="13"/>
      <c r="E131" s="13"/>
      <c r="F131" s="34"/>
      <c r="G131" s="34"/>
      <c r="H131" s="34"/>
      <c r="I131" s="38">
        <f>SUM(I8:I130)</f>
        <v>26368.417500000014</v>
      </c>
    </row>
    <row r="132" ht="13.5" thickTop="1"/>
  </sheetData>
  <sheetProtection/>
  <mergeCells count="3">
    <mergeCell ref="H3:I3"/>
    <mergeCell ref="G4:I4"/>
    <mergeCell ref="G2:I2"/>
  </mergeCells>
  <printOptions/>
  <pageMargins left="0.3937007874015748" right="0.3937007874015748" top="0.5905511811023623" bottom="0.5905511811023623" header="0" footer="0"/>
  <pageSetup fitToHeight="0" fitToWidth="1" horizontalDpi="600" verticalDpi="600" orientation="portrait" paperSize="9" scale="3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I131"/>
  <sheetViews>
    <sheetView view="pageBreakPreview" zoomScale="80" zoomScaleSheetLayoutView="80" zoomScalePageLayoutView="0" workbookViewId="0" topLeftCell="A41">
      <selection activeCell="A54" sqref="A54:IV56"/>
    </sheetView>
  </sheetViews>
  <sheetFormatPr defaultColWidth="11.421875" defaultRowHeight="12.75"/>
  <cols>
    <col min="1" max="1" width="15.140625" style="1" customWidth="1"/>
    <col min="2" max="2" width="86.7109375" style="21" customWidth="1"/>
    <col min="3" max="3" width="103.00390625" style="21" customWidth="1"/>
    <col min="4" max="4" width="21.28125" style="1" customWidth="1"/>
    <col min="5" max="5" width="33.140625" style="1" hidden="1" customWidth="1"/>
    <col min="6" max="6" width="22.57421875" style="2" customWidth="1"/>
    <col min="7" max="7" width="23.421875" style="2" customWidth="1"/>
    <col min="8" max="8" width="19.140625" style="2" customWidth="1"/>
    <col min="9" max="9" width="18.28125" style="52" bestFit="1" customWidth="1"/>
    <col min="10" max="10" width="11.421875" style="1" customWidth="1"/>
    <col min="11" max="11" width="11.57421875" style="1" bestFit="1" customWidth="1"/>
    <col min="12" max="16384" width="11.421875" style="1" customWidth="1"/>
  </cols>
  <sheetData>
    <row r="1" spans="1:8" ht="15.75" customHeight="1">
      <c r="A1" s="52"/>
      <c r="B1" s="54"/>
      <c r="C1" s="54"/>
      <c r="F1" s="52"/>
      <c r="G1" s="52"/>
      <c r="H1" s="52"/>
    </row>
    <row r="2" spans="1:9" ht="42.75" customHeight="1">
      <c r="A2" s="52"/>
      <c r="B2" s="54"/>
      <c r="C2" s="54"/>
      <c r="F2" s="101" t="s">
        <v>116</v>
      </c>
      <c r="G2" s="101"/>
      <c r="H2" s="101"/>
      <c r="I2" s="101"/>
    </row>
    <row r="3" spans="1:9" ht="33.75" customHeight="1">
      <c r="A3" s="52"/>
      <c r="B3" s="54"/>
      <c r="C3" s="54"/>
      <c r="F3" s="52"/>
      <c r="G3" s="100"/>
      <c r="H3" s="100"/>
      <c r="I3" s="100"/>
    </row>
    <row r="4" spans="1:9" ht="21.75" customHeight="1">
      <c r="A4" s="52"/>
      <c r="B4" s="54"/>
      <c r="C4" s="54"/>
      <c r="F4" s="99" t="s">
        <v>120</v>
      </c>
      <c r="G4" s="99"/>
      <c r="H4" s="99"/>
      <c r="I4" s="99"/>
    </row>
    <row r="5" spans="1:8" ht="15.75" customHeight="1">
      <c r="A5" s="52"/>
      <c r="B5" s="54"/>
      <c r="C5" s="54"/>
      <c r="F5" s="52"/>
      <c r="G5" s="52"/>
      <c r="H5" s="52"/>
    </row>
    <row r="6" spans="1:8" ht="15.75" customHeight="1" thickBot="1">
      <c r="A6" s="55"/>
      <c r="B6" s="56"/>
      <c r="C6" s="56"/>
      <c r="D6" s="3"/>
      <c r="E6" s="3"/>
      <c r="F6" s="55"/>
      <c r="G6" s="55"/>
      <c r="H6" s="55"/>
    </row>
    <row r="7" spans="1:9" ht="21" customHeight="1" thickTop="1">
      <c r="A7" s="57" t="s">
        <v>1</v>
      </c>
      <c r="B7" s="58" t="s">
        <v>3</v>
      </c>
      <c r="C7" s="23" t="s">
        <v>285</v>
      </c>
      <c r="D7" s="11" t="s">
        <v>2</v>
      </c>
      <c r="E7" s="16" t="s">
        <v>11</v>
      </c>
      <c r="F7" s="59" t="s">
        <v>4</v>
      </c>
      <c r="G7" s="59" t="s">
        <v>5</v>
      </c>
      <c r="H7" s="73" t="s">
        <v>13</v>
      </c>
      <c r="I7" s="53" t="s">
        <v>0</v>
      </c>
    </row>
    <row r="8" spans="1:9" ht="21" customHeight="1">
      <c r="A8" s="60"/>
      <c r="B8" s="72" t="s">
        <v>15</v>
      </c>
      <c r="C8" s="72" t="s">
        <v>316</v>
      </c>
      <c r="D8" s="12">
        <v>83006884161</v>
      </c>
      <c r="E8" s="30" t="s">
        <v>16</v>
      </c>
      <c r="F8" s="46">
        <v>31</v>
      </c>
      <c r="G8" s="46">
        <v>125</v>
      </c>
      <c r="H8" s="74">
        <v>68</v>
      </c>
      <c r="I8" s="51">
        <f>F8+G8+H8</f>
        <v>224</v>
      </c>
    </row>
    <row r="9" spans="1:9" ht="21" customHeight="1">
      <c r="A9" s="60"/>
      <c r="B9" s="26" t="s">
        <v>17</v>
      </c>
      <c r="C9" s="26" t="s">
        <v>314</v>
      </c>
      <c r="D9" s="12">
        <v>83001699293</v>
      </c>
      <c r="E9" s="30" t="s">
        <v>19</v>
      </c>
      <c r="F9" s="46">
        <v>1672</v>
      </c>
      <c r="G9" s="46">
        <v>0</v>
      </c>
      <c r="H9" s="74">
        <v>0</v>
      </c>
      <c r="I9" s="51">
        <f aca="true" t="shared" si="0" ref="I9:I59">F9+G9+H9</f>
        <v>1672</v>
      </c>
    </row>
    <row r="10" spans="1:9" ht="21" customHeight="1">
      <c r="A10" s="60"/>
      <c r="B10" s="26" t="s">
        <v>18</v>
      </c>
      <c r="C10" s="26" t="s">
        <v>324</v>
      </c>
      <c r="D10" s="12">
        <v>83002793469</v>
      </c>
      <c r="E10" s="30" t="s">
        <v>20</v>
      </c>
      <c r="F10" s="46">
        <v>3803</v>
      </c>
      <c r="G10" s="46">
        <v>1075</v>
      </c>
      <c r="H10" s="74">
        <v>299</v>
      </c>
      <c r="I10" s="51">
        <f t="shared" si="0"/>
        <v>5177</v>
      </c>
    </row>
    <row r="11" spans="1:9" ht="21" customHeight="1">
      <c r="A11" s="60"/>
      <c r="B11" s="26" t="s">
        <v>21</v>
      </c>
      <c r="C11" s="26" t="s">
        <v>365</v>
      </c>
      <c r="D11" s="12">
        <v>83005319585</v>
      </c>
      <c r="E11" s="30" t="s">
        <v>22</v>
      </c>
      <c r="F11" s="46">
        <v>179</v>
      </c>
      <c r="G11" s="46">
        <v>444</v>
      </c>
      <c r="H11" s="74">
        <v>128</v>
      </c>
      <c r="I11" s="51">
        <f t="shared" si="0"/>
        <v>751</v>
      </c>
    </row>
    <row r="12" spans="1:9" ht="21" customHeight="1">
      <c r="A12" s="60"/>
      <c r="B12" s="26" t="s">
        <v>23</v>
      </c>
      <c r="C12" s="26" t="s">
        <v>325</v>
      </c>
      <c r="D12" s="61">
        <v>999395654431</v>
      </c>
      <c r="E12" s="30" t="s">
        <v>24</v>
      </c>
      <c r="F12" s="46">
        <v>5718</v>
      </c>
      <c r="G12" s="46">
        <v>1518</v>
      </c>
      <c r="H12" s="74">
        <v>1173</v>
      </c>
      <c r="I12" s="51">
        <f t="shared" si="0"/>
        <v>8409</v>
      </c>
    </row>
    <row r="13" spans="1:9" ht="21" customHeight="1">
      <c r="A13" s="60"/>
      <c r="B13" s="26" t="s">
        <v>25</v>
      </c>
      <c r="C13" s="26" t="s">
        <v>315</v>
      </c>
      <c r="D13" s="61">
        <v>999395655454</v>
      </c>
      <c r="E13" s="30" t="s">
        <v>26</v>
      </c>
      <c r="F13" s="46">
        <v>504</v>
      </c>
      <c r="G13" s="46">
        <v>1704</v>
      </c>
      <c r="H13" s="74">
        <v>179</v>
      </c>
      <c r="I13" s="51">
        <f t="shared" si="0"/>
        <v>2387</v>
      </c>
    </row>
    <row r="14" spans="1:9" ht="21" customHeight="1">
      <c r="A14" s="60"/>
      <c r="B14" s="26" t="s">
        <v>27</v>
      </c>
      <c r="C14" s="26" t="s">
        <v>326</v>
      </c>
      <c r="D14" s="61">
        <v>512012286</v>
      </c>
      <c r="E14" s="30" t="s">
        <v>28</v>
      </c>
      <c r="F14" s="46">
        <v>3133</v>
      </c>
      <c r="G14" s="46">
        <v>1024</v>
      </c>
      <c r="H14" s="74">
        <v>396</v>
      </c>
      <c r="I14" s="51">
        <f t="shared" si="0"/>
        <v>4553</v>
      </c>
    </row>
    <row r="15" spans="1:9" ht="21" customHeight="1">
      <c r="A15" s="60"/>
      <c r="B15" s="26" t="s">
        <v>29</v>
      </c>
      <c r="C15" s="26" t="s">
        <v>327</v>
      </c>
      <c r="D15" s="61">
        <v>999395659634</v>
      </c>
      <c r="E15" s="30" t="s">
        <v>30</v>
      </c>
      <c r="F15" s="46">
        <v>2803</v>
      </c>
      <c r="G15" s="46">
        <v>918</v>
      </c>
      <c r="H15" s="74">
        <v>396</v>
      </c>
      <c r="I15" s="51">
        <f t="shared" si="0"/>
        <v>4117</v>
      </c>
    </row>
    <row r="16" spans="1:9" ht="21" customHeight="1">
      <c r="A16" s="60"/>
      <c r="B16" s="26" t="s">
        <v>31</v>
      </c>
      <c r="C16" s="26" t="s">
        <v>317</v>
      </c>
      <c r="D16" s="61">
        <v>999395660462</v>
      </c>
      <c r="E16" s="30" t="s">
        <v>32</v>
      </c>
      <c r="F16" s="46">
        <v>569</v>
      </c>
      <c r="G16" s="46">
        <v>823</v>
      </c>
      <c r="H16" s="74">
        <v>609</v>
      </c>
      <c r="I16" s="51">
        <f t="shared" si="0"/>
        <v>2001</v>
      </c>
    </row>
    <row r="17" spans="1:9" ht="21" customHeight="1">
      <c r="A17" s="60"/>
      <c r="B17" s="26" t="s">
        <v>33</v>
      </c>
      <c r="C17" s="26" t="s">
        <v>366</v>
      </c>
      <c r="D17" s="61">
        <v>999395662284</v>
      </c>
      <c r="E17" s="30" t="s">
        <v>34</v>
      </c>
      <c r="F17" s="46">
        <v>1705</v>
      </c>
      <c r="G17" s="46">
        <v>5708</v>
      </c>
      <c r="H17" s="74">
        <v>2440</v>
      </c>
      <c r="I17" s="51">
        <f t="shared" si="0"/>
        <v>9853</v>
      </c>
    </row>
    <row r="18" spans="1:9" ht="21" customHeight="1">
      <c r="A18" s="60"/>
      <c r="B18" s="26" t="s">
        <v>35</v>
      </c>
      <c r="C18" s="26" t="s">
        <v>292</v>
      </c>
      <c r="D18" s="61">
        <v>999395662947</v>
      </c>
      <c r="E18" s="30" t="s">
        <v>36</v>
      </c>
      <c r="F18" s="46"/>
      <c r="G18" s="46"/>
      <c r="H18" s="74"/>
      <c r="I18" s="51">
        <f t="shared" si="0"/>
        <v>0</v>
      </c>
    </row>
    <row r="19" spans="1:9" ht="21" customHeight="1">
      <c r="A19" s="60"/>
      <c r="B19" s="26" t="s">
        <v>37</v>
      </c>
      <c r="C19" s="26" t="s">
        <v>369</v>
      </c>
      <c r="D19" s="61">
        <v>999395663410</v>
      </c>
      <c r="E19" s="30" t="s">
        <v>38</v>
      </c>
      <c r="F19" s="46">
        <v>150</v>
      </c>
      <c r="G19" s="46">
        <v>1944</v>
      </c>
      <c r="H19" s="74">
        <v>319</v>
      </c>
      <c r="I19" s="51">
        <f t="shared" si="0"/>
        <v>2413</v>
      </c>
    </row>
    <row r="20" spans="1:9" ht="21" customHeight="1">
      <c r="A20" s="60"/>
      <c r="B20" s="26" t="s">
        <v>39</v>
      </c>
      <c r="C20" s="26" t="s">
        <v>293</v>
      </c>
      <c r="D20" s="61">
        <v>999395665004</v>
      </c>
      <c r="E20" s="30" t="s">
        <v>40</v>
      </c>
      <c r="F20" s="46"/>
      <c r="G20" s="46"/>
      <c r="H20" s="74"/>
      <c r="I20" s="51">
        <f t="shared" si="0"/>
        <v>0</v>
      </c>
    </row>
    <row r="21" spans="1:9" ht="21" customHeight="1">
      <c r="A21" s="60"/>
      <c r="B21" s="26" t="s">
        <v>41</v>
      </c>
      <c r="C21" s="26" t="s">
        <v>367</v>
      </c>
      <c r="D21" s="61">
        <v>999395665500</v>
      </c>
      <c r="E21" s="30" t="s">
        <v>42</v>
      </c>
      <c r="F21" s="46">
        <v>1038</v>
      </c>
      <c r="G21" s="46">
        <v>1779</v>
      </c>
      <c r="H21" s="74">
        <v>773</v>
      </c>
      <c r="I21" s="51">
        <f t="shared" si="0"/>
        <v>3590</v>
      </c>
    </row>
    <row r="22" spans="1:9" ht="21" customHeight="1">
      <c r="A22" s="60"/>
      <c r="B22" s="26" t="s">
        <v>43</v>
      </c>
      <c r="C22" s="93"/>
      <c r="D22" s="61">
        <v>999395674678</v>
      </c>
      <c r="E22" s="30" t="s">
        <v>44</v>
      </c>
      <c r="F22" s="46">
        <v>209</v>
      </c>
      <c r="G22" s="46">
        <v>170</v>
      </c>
      <c r="H22" s="74">
        <v>171</v>
      </c>
      <c r="I22" s="51">
        <f t="shared" si="0"/>
        <v>550</v>
      </c>
    </row>
    <row r="23" spans="1:9" ht="21" customHeight="1">
      <c r="A23" s="60"/>
      <c r="B23" s="26" t="s">
        <v>45</v>
      </c>
      <c r="C23" s="26" t="s">
        <v>307</v>
      </c>
      <c r="D23" s="61">
        <v>999395675751</v>
      </c>
      <c r="E23" s="30" t="s">
        <v>46</v>
      </c>
      <c r="F23" s="46">
        <v>345</v>
      </c>
      <c r="G23" s="46">
        <v>1028</v>
      </c>
      <c r="H23" s="74">
        <v>309</v>
      </c>
      <c r="I23" s="51">
        <f t="shared" si="0"/>
        <v>1682</v>
      </c>
    </row>
    <row r="24" spans="1:9" s="19" customFormat="1" ht="21" customHeight="1">
      <c r="A24" s="60"/>
      <c r="B24" s="26" t="s">
        <v>47</v>
      </c>
      <c r="C24" s="26" t="s">
        <v>318</v>
      </c>
      <c r="D24" s="61">
        <v>999395676257</v>
      </c>
      <c r="E24" s="30" t="s">
        <v>48</v>
      </c>
      <c r="F24" s="46">
        <v>41</v>
      </c>
      <c r="G24" s="46">
        <v>357</v>
      </c>
      <c r="H24" s="74">
        <v>93</v>
      </c>
      <c r="I24" s="51">
        <f t="shared" si="0"/>
        <v>491</v>
      </c>
    </row>
    <row r="25" spans="1:9" s="19" customFormat="1" ht="21" customHeight="1">
      <c r="A25" s="60"/>
      <c r="B25" s="26" t="s">
        <v>49</v>
      </c>
      <c r="C25" s="26" t="s">
        <v>328</v>
      </c>
      <c r="D25" s="61">
        <v>999395676905</v>
      </c>
      <c r="E25" s="30" t="s">
        <v>50</v>
      </c>
      <c r="F25" s="46"/>
      <c r="G25" s="46"/>
      <c r="H25" s="74"/>
      <c r="I25" s="51">
        <f t="shared" si="0"/>
        <v>0</v>
      </c>
    </row>
    <row r="26" spans="1:9" ht="21" customHeight="1">
      <c r="A26" s="60"/>
      <c r="B26" s="26" t="s">
        <v>51</v>
      </c>
      <c r="C26" s="93"/>
      <c r="D26" s="61">
        <v>999395677339</v>
      </c>
      <c r="E26" s="30" t="s">
        <v>52</v>
      </c>
      <c r="F26" s="46">
        <v>811</v>
      </c>
      <c r="G26" s="46">
        <v>624</v>
      </c>
      <c r="H26" s="74">
        <v>2</v>
      </c>
      <c r="I26" s="51">
        <f t="shared" si="0"/>
        <v>1437</v>
      </c>
    </row>
    <row r="27" spans="1:9" ht="21" customHeight="1">
      <c r="A27" s="60"/>
      <c r="B27" s="26" t="s">
        <v>53</v>
      </c>
      <c r="C27" s="93"/>
      <c r="D27" s="61">
        <v>999395680029</v>
      </c>
      <c r="E27" s="30" t="s">
        <v>54</v>
      </c>
      <c r="F27" s="46">
        <v>753</v>
      </c>
      <c r="G27" s="46">
        <v>620</v>
      </c>
      <c r="H27" s="74">
        <v>0</v>
      </c>
      <c r="I27" s="51">
        <f t="shared" si="0"/>
        <v>1373</v>
      </c>
    </row>
    <row r="28" spans="1:9" ht="21" customHeight="1">
      <c r="A28" s="60"/>
      <c r="B28" s="26" t="s">
        <v>55</v>
      </c>
      <c r="C28" s="26" t="s">
        <v>294</v>
      </c>
      <c r="D28" s="61">
        <v>999395682858</v>
      </c>
      <c r="E28" s="30" t="s">
        <v>56</v>
      </c>
      <c r="F28" s="46"/>
      <c r="G28" s="46"/>
      <c r="H28" s="74"/>
      <c r="I28" s="51">
        <f t="shared" si="0"/>
        <v>0</v>
      </c>
    </row>
    <row r="29" spans="1:9" ht="21" customHeight="1">
      <c r="A29" s="60"/>
      <c r="B29" s="26" t="s">
        <v>57</v>
      </c>
      <c r="C29" s="26" t="s">
        <v>295</v>
      </c>
      <c r="D29" s="12">
        <v>512095448</v>
      </c>
      <c r="E29" s="30" t="s">
        <v>58</v>
      </c>
      <c r="F29" s="46"/>
      <c r="G29" s="46"/>
      <c r="H29" s="74"/>
      <c r="I29" s="51">
        <f t="shared" si="0"/>
        <v>0</v>
      </c>
    </row>
    <row r="30" spans="1:9" ht="21" customHeight="1">
      <c r="A30" s="60"/>
      <c r="B30" s="26" t="s">
        <v>59</v>
      </c>
      <c r="C30" s="26" t="s">
        <v>296</v>
      </c>
      <c r="D30" s="61">
        <v>999395695033</v>
      </c>
      <c r="E30" s="30" t="s">
        <v>60</v>
      </c>
      <c r="F30" s="46">
        <v>2461</v>
      </c>
      <c r="G30" s="46">
        <v>0</v>
      </c>
      <c r="H30" s="74">
        <v>0</v>
      </c>
      <c r="I30" s="51">
        <f t="shared" si="0"/>
        <v>2461</v>
      </c>
    </row>
    <row r="31" spans="1:9" ht="21" customHeight="1">
      <c r="A31" s="60"/>
      <c r="B31" s="26" t="s">
        <v>61</v>
      </c>
      <c r="C31" s="26" t="s">
        <v>296</v>
      </c>
      <c r="D31" s="61">
        <v>999395696742</v>
      </c>
      <c r="E31" s="30" t="s">
        <v>62</v>
      </c>
      <c r="F31" s="46">
        <v>4211.5</v>
      </c>
      <c r="G31" s="46">
        <v>0</v>
      </c>
      <c r="H31" s="74">
        <v>0</v>
      </c>
      <c r="I31" s="51">
        <f t="shared" si="0"/>
        <v>4211.5</v>
      </c>
    </row>
    <row r="32" spans="1:9" ht="21" customHeight="1">
      <c r="A32" s="60"/>
      <c r="B32" s="26" t="s">
        <v>63</v>
      </c>
      <c r="C32" s="26" t="s">
        <v>308</v>
      </c>
      <c r="D32" s="61">
        <v>999395697615</v>
      </c>
      <c r="E32" s="30" t="s">
        <v>64</v>
      </c>
      <c r="F32" s="46">
        <f>4997/2</f>
        <v>2498.5</v>
      </c>
      <c r="G32" s="46">
        <v>0</v>
      </c>
      <c r="H32" s="74">
        <v>0</v>
      </c>
      <c r="I32" s="51">
        <f t="shared" si="0"/>
        <v>2498.5</v>
      </c>
    </row>
    <row r="33" spans="1:9" ht="21" customHeight="1">
      <c r="A33" s="60"/>
      <c r="B33" s="26" t="s">
        <v>65</v>
      </c>
      <c r="C33" s="26" t="s">
        <v>297</v>
      </c>
      <c r="D33" s="61">
        <v>999395698321</v>
      </c>
      <c r="E33" s="30" t="s">
        <v>66</v>
      </c>
      <c r="F33" s="46">
        <f>4204/2</f>
        <v>2102</v>
      </c>
      <c r="G33" s="46">
        <v>0</v>
      </c>
      <c r="H33" s="74">
        <v>0</v>
      </c>
      <c r="I33" s="51">
        <f t="shared" si="0"/>
        <v>2102</v>
      </c>
    </row>
    <row r="34" spans="1:9" ht="21" customHeight="1">
      <c r="A34" s="60"/>
      <c r="B34" s="26" t="s">
        <v>67</v>
      </c>
      <c r="C34" s="26" t="s">
        <v>309</v>
      </c>
      <c r="D34" s="62">
        <v>999395698661</v>
      </c>
      <c r="E34" s="31" t="s">
        <v>68</v>
      </c>
      <c r="F34" s="47">
        <f>2066/2</f>
        <v>1033</v>
      </c>
      <c r="G34" s="47">
        <v>0</v>
      </c>
      <c r="H34" s="75">
        <v>0</v>
      </c>
      <c r="I34" s="51">
        <f t="shared" si="0"/>
        <v>1033</v>
      </c>
    </row>
    <row r="35" spans="1:9" s="20" customFormat="1" ht="21" customHeight="1">
      <c r="A35" s="60"/>
      <c r="B35" s="26" t="s">
        <v>69</v>
      </c>
      <c r="C35" s="26"/>
      <c r="D35" s="61">
        <v>999395699042</v>
      </c>
      <c r="E35" s="30" t="s">
        <v>70</v>
      </c>
      <c r="F35" s="46">
        <v>3041</v>
      </c>
      <c r="G35" s="46">
        <v>0</v>
      </c>
      <c r="H35" s="74">
        <v>0</v>
      </c>
      <c r="I35" s="51">
        <f t="shared" si="0"/>
        <v>3041</v>
      </c>
    </row>
    <row r="36" spans="1:9" ht="21" customHeight="1">
      <c r="A36" s="60"/>
      <c r="B36" s="26" t="s">
        <v>71</v>
      </c>
      <c r="C36" s="93"/>
      <c r="D36" s="61">
        <v>999395699192</v>
      </c>
      <c r="E36" s="30" t="s">
        <v>72</v>
      </c>
      <c r="F36" s="47">
        <f>1989/2</f>
        <v>994.5</v>
      </c>
      <c r="G36" s="47">
        <v>0</v>
      </c>
      <c r="H36" s="75">
        <v>0</v>
      </c>
      <c r="I36" s="92">
        <f t="shared" si="0"/>
        <v>994.5</v>
      </c>
    </row>
    <row r="37" spans="1:9" ht="21" customHeight="1">
      <c r="A37" s="60"/>
      <c r="B37" s="26" t="s">
        <v>73</v>
      </c>
      <c r="C37" s="93"/>
      <c r="D37" s="61">
        <v>999395699382</v>
      </c>
      <c r="E37" s="30" t="s">
        <v>74</v>
      </c>
      <c r="F37" s="46">
        <f>2059/2</f>
        <v>1029.5</v>
      </c>
      <c r="G37" s="46">
        <v>0</v>
      </c>
      <c r="H37" s="74">
        <v>0</v>
      </c>
      <c r="I37" s="51">
        <f t="shared" si="0"/>
        <v>1029.5</v>
      </c>
    </row>
    <row r="38" spans="1:9" ht="21" customHeight="1">
      <c r="A38" s="60"/>
      <c r="B38" s="26" t="s">
        <v>75</v>
      </c>
      <c r="C38" s="26" t="s">
        <v>298</v>
      </c>
      <c r="D38" s="61">
        <v>999395699631</v>
      </c>
      <c r="E38" s="30" t="s">
        <v>76</v>
      </c>
      <c r="F38" s="46">
        <f>299/2</f>
        <v>149.5</v>
      </c>
      <c r="G38" s="46">
        <v>0</v>
      </c>
      <c r="H38" s="74">
        <v>0</v>
      </c>
      <c r="I38" s="51">
        <f t="shared" si="0"/>
        <v>149.5</v>
      </c>
    </row>
    <row r="39" spans="1:9" ht="21" customHeight="1">
      <c r="A39" s="60"/>
      <c r="B39" s="26" t="s">
        <v>77</v>
      </c>
      <c r="C39" s="93"/>
      <c r="D39" s="61">
        <v>999395699855</v>
      </c>
      <c r="E39" s="30" t="s">
        <v>78</v>
      </c>
      <c r="F39" s="46">
        <f>1706/2</f>
        <v>853</v>
      </c>
      <c r="G39" s="46">
        <v>0</v>
      </c>
      <c r="H39" s="74">
        <v>0</v>
      </c>
      <c r="I39" s="51">
        <f t="shared" si="0"/>
        <v>853</v>
      </c>
    </row>
    <row r="40" spans="1:9" ht="21" customHeight="1">
      <c r="A40" s="60"/>
      <c r="B40" s="26" t="s">
        <v>79</v>
      </c>
      <c r="C40" s="26" t="s">
        <v>299</v>
      </c>
      <c r="D40" s="61">
        <v>999395699914</v>
      </c>
      <c r="E40" s="30" t="s">
        <v>80</v>
      </c>
      <c r="F40" s="46">
        <f>3622/2</f>
        <v>1811</v>
      </c>
      <c r="G40" s="46">
        <v>0</v>
      </c>
      <c r="H40" s="74">
        <v>0</v>
      </c>
      <c r="I40" s="51">
        <f t="shared" si="0"/>
        <v>1811</v>
      </c>
    </row>
    <row r="41" spans="1:9" ht="21" customHeight="1">
      <c r="A41" s="60"/>
      <c r="B41" s="26" t="s">
        <v>81</v>
      </c>
      <c r="C41" s="26" t="s">
        <v>329</v>
      </c>
      <c r="D41" s="61">
        <v>999395720675</v>
      </c>
      <c r="E41" s="30" t="s">
        <v>82</v>
      </c>
      <c r="F41" s="46">
        <f>8032/2</f>
        <v>4016</v>
      </c>
      <c r="G41" s="46">
        <v>0</v>
      </c>
      <c r="H41" s="74">
        <v>0</v>
      </c>
      <c r="I41" s="51">
        <f t="shared" si="0"/>
        <v>4016</v>
      </c>
    </row>
    <row r="42" spans="1:9" ht="21" customHeight="1">
      <c r="A42" s="60"/>
      <c r="B42" s="26" t="s">
        <v>83</v>
      </c>
      <c r="C42" s="26" t="s">
        <v>300</v>
      </c>
      <c r="D42" s="61">
        <v>999395721493</v>
      </c>
      <c r="E42" s="30" t="s">
        <v>84</v>
      </c>
      <c r="F42" s="46">
        <f>4746/2</f>
        <v>2373</v>
      </c>
      <c r="G42" s="46">
        <v>0</v>
      </c>
      <c r="H42" s="74">
        <v>0</v>
      </c>
      <c r="I42" s="51">
        <f t="shared" si="0"/>
        <v>2373</v>
      </c>
    </row>
    <row r="43" spans="1:9" ht="21" customHeight="1">
      <c r="A43" s="60"/>
      <c r="B43" s="26" t="s">
        <v>85</v>
      </c>
      <c r="C43" s="26"/>
      <c r="D43" s="61">
        <v>999395728957</v>
      </c>
      <c r="E43" s="30" t="s">
        <v>86</v>
      </c>
      <c r="F43" s="46">
        <v>410</v>
      </c>
      <c r="G43" s="46">
        <v>0</v>
      </c>
      <c r="H43" s="74">
        <v>0</v>
      </c>
      <c r="I43" s="51">
        <f t="shared" si="0"/>
        <v>410</v>
      </c>
    </row>
    <row r="44" spans="1:9" ht="21" customHeight="1">
      <c r="A44" s="60"/>
      <c r="B44" s="26" t="s">
        <v>87</v>
      </c>
      <c r="C44" s="26" t="s">
        <v>330</v>
      </c>
      <c r="D44" s="61">
        <v>999395729357</v>
      </c>
      <c r="E44" s="30" t="s">
        <v>88</v>
      </c>
      <c r="F44" s="46">
        <f>1536/2</f>
        <v>768</v>
      </c>
      <c r="G44" s="46">
        <v>0</v>
      </c>
      <c r="H44" s="74">
        <v>0</v>
      </c>
      <c r="I44" s="51">
        <f t="shared" si="0"/>
        <v>768</v>
      </c>
    </row>
    <row r="45" spans="1:9" ht="21" customHeight="1">
      <c r="A45" s="60"/>
      <c r="B45" s="26" t="s">
        <v>89</v>
      </c>
      <c r="C45" s="93"/>
      <c r="D45" s="61">
        <v>999395729815</v>
      </c>
      <c r="E45" s="30" t="s">
        <v>90</v>
      </c>
      <c r="F45" s="46">
        <f>1032/2</f>
        <v>516</v>
      </c>
      <c r="G45" s="46">
        <v>0</v>
      </c>
      <c r="H45" s="74">
        <v>0</v>
      </c>
      <c r="I45" s="51">
        <f t="shared" si="0"/>
        <v>516</v>
      </c>
    </row>
    <row r="46" spans="1:9" ht="21" customHeight="1">
      <c r="A46" s="60"/>
      <c r="B46" s="26" t="s">
        <v>94</v>
      </c>
      <c r="C46" s="26" t="s">
        <v>331</v>
      </c>
      <c r="D46" s="61">
        <v>999395730546</v>
      </c>
      <c r="E46" s="30" t="s">
        <v>91</v>
      </c>
      <c r="F46" s="46">
        <f>33/2</f>
        <v>16.5</v>
      </c>
      <c r="G46" s="46">
        <v>0</v>
      </c>
      <c r="H46" s="74">
        <v>0</v>
      </c>
      <c r="I46" s="51">
        <f t="shared" si="0"/>
        <v>16.5</v>
      </c>
    </row>
    <row r="47" spans="1:9" ht="21" customHeight="1">
      <c r="A47" s="60"/>
      <c r="B47" s="26" t="s">
        <v>92</v>
      </c>
      <c r="C47" s="26" t="s">
        <v>319</v>
      </c>
      <c r="D47" s="61">
        <v>999395731005</v>
      </c>
      <c r="E47" s="32" t="s">
        <v>93</v>
      </c>
      <c r="F47" s="46">
        <v>947</v>
      </c>
      <c r="G47" s="46">
        <v>0</v>
      </c>
      <c r="H47" s="74">
        <v>0</v>
      </c>
      <c r="I47" s="51">
        <f t="shared" si="0"/>
        <v>947</v>
      </c>
    </row>
    <row r="48" spans="1:9" ht="21" customHeight="1">
      <c r="A48" s="60"/>
      <c r="B48" s="26" t="s">
        <v>95</v>
      </c>
      <c r="C48" s="93"/>
      <c r="D48" s="61">
        <v>999395731797</v>
      </c>
      <c r="E48" s="30" t="s">
        <v>96</v>
      </c>
      <c r="F48" s="46">
        <f>2578/2</f>
        <v>1289</v>
      </c>
      <c r="G48" s="46">
        <v>0</v>
      </c>
      <c r="H48" s="74">
        <v>0</v>
      </c>
      <c r="I48" s="51">
        <f t="shared" si="0"/>
        <v>1289</v>
      </c>
    </row>
    <row r="49" spans="1:9" ht="21" customHeight="1">
      <c r="A49" s="60"/>
      <c r="B49" s="26" t="s">
        <v>97</v>
      </c>
      <c r="C49" s="26"/>
      <c r="D49" s="61">
        <v>999395850272</v>
      </c>
      <c r="E49" s="30" t="s">
        <v>98</v>
      </c>
      <c r="F49" s="46">
        <v>1876</v>
      </c>
      <c r="G49" s="46">
        <v>993</v>
      </c>
      <c r="H49" s="74">
        <v>2834</v>
      </c>
      <c r="I49" s="51">
        <f t="shared" si="0"/>
        <v>5703</v>
      </c>
    </row>
    <row r="50" spans="1:9" ht="21" customHeight="1">
      <c r="A50" s="60"/>
      <c r="B50" s="26" t="s">
        <v>99</v>
      </c>
      <c r="C50" s="93"/>
      <c r="D50" s="61">
        <v>999395869847</v>
      </c>
      <c r="E50" s="30" t="s">
        <v>100</v>
      </c>
      <c r="F50" s="46">
        <v>1031</v>
      </c>
      <c r="G50" s="46">
        <v>2068</v>
      </c>
      <c r="H50" s="74">
        <v>0</v>
      </c>
      <c r="I50" s="51">
        <f t="shared" si="0"/>
        <v>3099</v>
      </c>
    </row>
    <row r="51" spans="1:9" ht="21" customHeight="1">
      <c r="A51" s="60"/>
      <c r="B51" s="26" t="s">
        <v>101</v>
      </c>
      <c r="C51" s="26" t="s">
        <v>371</v>
      </c>
      <c r="D51" s="12">
        <v>83007836944</v>
      </c>
      <c r="E51" s="30" t="s">
        <v>102</v>
      </c>
      <c r="F51" s="46">
        <f>820/2</f>
        <v>410</v>
      </c>
      <c r="G51" s="46">
        <v>0</v>
      </c>
      <c r="H51" s="74">
        <v>0</v>
      </c>
      <c r="I51" s="51">
        <f t="shared" si="0"/>
        <v>410</v>
      </c>
    </row>
    <row r="52" spans="1:9" ht="21" customHeight="1">
      <c r="A52" s="60"/>
      <c r="B52" s="26" t="s">
        <v>103</v>
      </c>
      <c r="C52" s="26" t="s">
        <v>286</v>
      </c>
      <c r="D52" s="61">
        <v>999418107083</v>
      </c>
      <c r="E52" s="30" t="s">
        <v>104</v>
      </c>
      <c r="F52" s="46">
        <f>9665/2</f>
        <v>4832.5</v>
      </c>
      <c r="G52" s="46">
        <v>0</v>
      </c>
      <c r="H52" s="74">
        <v>0</v>
      </c>
      <c r="I52" s="51">
        <f t="shared" si="0"/>
        <v>4832.5</v>
      </c>
    </row>
    <row r="53" spans="1:9" ht="21" customHeight="1">
      <c r="A53" s="60"/>
      <c r="B53" s="26" t="s">
        <v>105</v>
      </c>
      <c r="C53" s="26" t="s">
        <v>332</v>
      </c>
      <c r="D53" s="61">
        <v>999418108530</v>
      </c>
      <c r="E53" s="30" t="s">
        <v>106</v>
      </c>
      <c r="F53" s="46">
        <v>502</v>
      </c>
      <c r="G53" s="46">
        <v>972</v>
      </c>
      <c r="H53" s="74">
        <v>98</v>
      </c>
      <c r="I53" s="51">
        <f t="shared" si="0"/>
        <v>1572</v>
      </c>
    </row>
    <row r="54" spans="1:9" ht="21" customHeight="1">
      <c r="A54" s="60"/>
      <c r="B54" s="26" t="s">
        <v>107</v>
      </c>
      <c r="C54" s="26" t="s">
        <v>302</v>
      </c>
      <c r="D54" s="61">
        <v>999444028261</v>
      </c>
      <c r="E54" s="30" t="s">
        <v>108</v>
      </c>
      <c r="F54" s="46">
        <v>18</v>
      </c>
      <c r="G54" s="46">
        <v>51</v>
      </c>
      <c r="H54" s="74">
        <v>35</v>
      </c>
      <c r="I54" s="51">
        <f t="shared" si="0"/>
        <v>104</v>
      </c>
    </row>
    <row r="55" spans="1:9" ht="21" customHeight="1">
      <c r="A55" s="60"/>
      <c r="B55" s="26" t="s">
        <v>109</v>
      </c>
      <c r="C55" s="26" t="s">
        <v>313</v>
      </c>
      <c r="D55" s="12">
        <v>83000769293</v>
      </c>
      <c r="E55" s="30" t="s">
        <v>110</v>
      </c>
      <c r="F55" s="46">
        <v>638</v>
      </c>
      <c r="G55" s="46">
        <v>820</v>
      </c>
      <c r="H55" s="74">
        <v>131</v>
      </c>
      <c r="I55" s="51">
        <f t="shared" si="0"/>
        <v>1589</v>
      </c>
    </row>
    <row r="56" spans="1:9" s="19" customFormat="1" ht="21" customHeight="1">
      <c r="A56" s="60"/>
      <c r="B56" s="35" t="s">
        <v>125</v>
      </c>
      <c r="C56" s="94"/>
      <c r="D56" s="36">
        <v>60006203645</v>
      </c>
      <c r="E56" s="37" t="s">
        <v>126</v>
      </c>
      <c r="F56" s="46">
        <v>80</v>
      </c>
      <c r="G56" s="46">
        <v>0</v>
      </c>
      <c r="H56" s="48">
        <v>0</v>
      </c>
      <c r="I56" s="51">
        <f t="shared" si="0"/>
        <v>80</v>
      </c>
    </row>
    <row r="57" spans="1:9" s="29" customFormat="1" ht="21" customHeight="1">
      <c r="A57" s="60"/>
      <c r="B57" s="26" t="s">
        <v>127</v>
      </c>
      <c r="C57" s="93"/>
      <c r="D57" s="12">
        <v>60007966411</v>
      </c>
      <c r="E57" s="30" t="s">
        <v>128</v>
      </c>
      <c r="F57" s="46">
        <v>402</v>
      </c>
      <c r="G57" s="46">
        <v>0</v>
      </c>
      <c r="H57" s="74">
        <v>0</v>
      </c>
      <c r="I57" s="51">
        <f t="shared" si="0"/>
        <v>402</v>
      </c>
    </row>
    <row r="58" spans="1:9" ht="21" customHeight="1">
      <c r="A58" s="60"/>
      <c r="B58" s="26" t="s">
        <v>129</v>
      </c>
      <c r="C58" s="26" t="s">
        <v>289</v>
      </c>
      <c r="D58" s="12">
        <v>60006643135</v>
      </c>
      <c r="E58" s="30" t="s">
        <v>130</v>
      </c>
      <c r="F58" s="46">
        <f>615/2</f>
        <v>307.5</v>
      </c>
      <c r="G58" s="46">
        <v>0</v>
      </c>
      <c r="H58" s="74">
        <v>0</v>
      </c>
      <c r="I58" s="51">
        <f t="shared" si="0"/>
        <v>307.5</v>
      </c>
    </row>
    <row r="59" spans="1:9" ht="21" customHeight="1">
      <c r="A59" s="60"/>
      <c r="B59" s="26" t="s">
        <v>131</v>
      </c>
      <c r="C59" s="93"/>
      <c r="D59" s="12">
        <v>60007843244</v>
      </c>
      <c r="E59" s="30" t="s">
        <v>132</v>
      </c>
      <c r="F59" s="46">
        <v>265</v>
      </c>
      <c r="G59" s="46">
        <v>0</v>
      </c>
      <c r="H59" s="74">
        <v>0</v>
      </c>
      <c r="I59" s="51">
        <f t="shared" si="0"/>
        <v>265</v>
      </c>
    </row>
    <row r="60" spans="1:9" ht="21" customHeight="1">
      <c r="A60" s="60"/>
      <c r="B60" s="26" t="s">
        <v>133</v>
      </c>
      <c r="C60" s="26" t="s">
        <v>322</v>
      </c>
      <c r="D60" s="12">
        <v>60007843069</v>
      </c>
      <c r="E60" s="30" t="s">
        <v>134</v>
      </c>
      <c r="F60" s="46">
        <f>753/2</f>
        <v>376.5</v>
      </c>
      <c r="G60" s="46">
        <v>0</v>
      </c>
      <c r="H60" s="74">
        <v>0</v>
      </c>
      <c r="I60" s="51">
        <f aca="true" t="shared" si="1" ref="I60:I120">F60+G60+H60</f>
        <v>376.5</v>
      </c>
    </row>
    <row r="61" spans="1:9" ht="21" customHeight="1">
      <c r="A61" s="60"/>
      <c r="B61" s="26" t="s">
        <v>135</v>
      </c>
      <c r="C61" s="26" t="s">
        <v>353</v>
      </c>
      <c r="D61" s="12">
        <v>60007843073</v>
      </c>
      <c r="E61" s="30" t="s">
        <v>136</v>
      </c>
      <c r="F61" s="46">
        <f>430/2</f>
        <v>215</v>
      </c>
      <c r="G61" s="46">
        <v>0</v>
      </c>
      <c r="H61" s="74">
        <v>0</v>
      </c>
      <c r="I61" s="51">
        <f t="shared" si="1"/>
        <v>215</v>
      </c>
    </row>
    <row r="62" spans="1:9" ht="21" customHeight="1">
      <c r="A62" s="60"/>
      <c r="B62" s="26" t="s">
        <v>137</v>
      </c>
      <c r="C62" s="93"/>
      <c r="D62" s="12">
        <v>60007843356</v>
      </c>
      <c r="E62" s="30" t="s">
        <v>138</v>
      </c>
      <c r="F62" s="46">
        <f>247/2</f>
        <v>123.5</v>
      </c>
      <c r="G62" s="46">
        <v>0</v>
      </c>
      <c r="H62" s="74">
        <v>0</v>
      </c>
      <c r="I62" s="51">
        <f t="shared" si="1"/>
        <v>123.5</v>
      </c>
    </row>
    <row r="63" spans="1:9" ht="21" customHeight="1">
      <c r="A63" s="60"/>
      <c r="B63" s="26" t="s">
        <v>139</v>
      </c>
      <c r="C63" s="93"/>
      <c r="D63" s="12">
        <v>60007847274</v>
      </c>
      <c r="E63" s="30" t="s">
        <v>140</v>
      </c>
      <c r="F63" s="46">
        <f>285/2</f>
        <v>142.5</v>
      </c>
      <c r="G63" s="46">
        <v>0</v>
      </c>
      <c r="H63" s="74">
        <v>0</v>
      </c>
      <c r="I63" s="51">
        <f t="shared" si="1"/>
        <v>142.5</v>
      </c>
    </row>
    <row r="64" spans="1:9" ht="21" customHeight="1">
      <c r="A64" s="60"/>
      <c r="B64" s="26" t="s">
        <v>141</v>
      </c>
      <c r="C64" s="93"/>
      <c r="D64" s="12">
        <v>60007847482</v>
      </c>
      <c r="E64" s="30" t="s">
        <v>142</v>
      </c>
      <c r="F64" s="46">
        <v>299</v>
      </c>
      <c r="G64" s="46">
        <v>0</v>
      </c>
      <c r="H64" s="74">
        <v>0</v>
      </c>
      <c r="I64" s="51">
        <f t="shared" si="1"/>
        <v>299</v>
      </c>
    </row>
    <row r="65" spans="1:9" ht="21" customHeight="1">
      <c r="A65" s="60"/>
      <c r="B65" s="26" t="s">
        <v>143</v>
      </c>
      <c r="C65" s="26" t="s">
        <v>323</v>
      </c>
      <c r="D65" s="12">
        <v>60007858040</v>
      </c>
      <c r="E65" s="78" t="s">
        <v>144</v>
      </c>
      <c r="F65" s="46">
        <v>112</v>
      </c>
      <c r="G65" s="46">
        <v>0</v>
      </c>
      <c r="H65" s="74">
        <v>0</v>
      </c>
      <c r="I65" s="51">
        <f t="shared" si="1"/>
        <v>112</v>
      </c>
    </row>
    <row r="66" spans="1:9" ht="21" customHeight="1">
      <c r="A66" s="60"/>
      <c r="B66" s="43" t="s">
        <v>145</v>
      </c>
      <c r="C66" s="43" t="s">
        <v>358</v>
      </c>
      <c r="D66" s="44">
        <v>60007889355</v>
      </c>
      <c r="E66" s="37" t="s">
        <v>146</v>
      </c>
      <c r="F66" s="46">
        <f>289/2</f>
        <v>144.5</v>
      </c>
      <c r="G66" s="46">
        <v>0</v>
      </c>
      <c r="H66" s="74">
        <v>0</v>
      </c>
      <c r="I66" s="51">
        <f t="shared" si="1"/>
        <v>144.5</v>
      </c>
    </row>
    <row r="67" spans="1:9" ht="21" customHeight="1">
      <c r="A67" s="60"/>
      <c r="B67" s="41" t="s">
        <v>147</v>
      </c>
      <c r="C67" s="41" t="s">
        <v>311</v>
      </c>
      <c r="D67" s="40">
        <v>60007899611</v>
      </c>
      <c r="E67" s="42" t="s">
        <v>148</v>
      </c>
      <c r="F67" s="47">
        <v>654</v>
      </c>
      <c r="G67" s="47">
        <v>0</v>
      </c>
      <c r="H67" s="75">
        <v>0</v>
      </c>
      <c r="I67" s="51">
        <f t="shared" si="1"/>
        <v>654</v>
      </c>
    </row>
    <row r="68" spans="1:9" ht="21" customHeight="1">
      <c r="A68" s="60"/>
      <c r="B68" s="26" t="s">
        <v>149</v>
      </c>
      <c r="C68" s="93"/>
      <c r="D68" s="12">
        <v>60008073286</v>
      </c>
      <c r="E68" s="30" t="s">
        <v>150</v>
      </c>
      <c r="F68" s="46">
        <f>18/2</f>
        <v>9</v>
      </c>
      <c r="G68" s="46">
        <v>0</v>
      </c>
      <c r="H68" s="74">
        <v>0</v>
      </c>
      <c r="I68" s="51">
        <f t="shared" si="1"/>
        <v>9</v>
      </c>
    </row>
    <row r="69" spans="1:9" s="29" customFormat="1" ht="21" customHeight="1">
      <c r="A69" s="60"/>
      <c r="B69" s="26" t="s">
        <v>151</v>
      </c>
      <c r="C69" s="26"/>
      <c r="D69" s="12">
        <v>60008101006</v>
      </c>
      <c r="E69" s="30" t="s">
        <v>152</v>
      </c>
      <c r="F69" s="46">
        <f>6/2</f>
        <v>3</v>
      </c>
      <c r="G69" s="46">
        <v>0</v>
      </c>
      <c r="H69" s="74">
        <v>0</v>
      </c>
      <c r="I69" s="51">
        <f t="shared" si="1"/>
        <v>3</v>
      </c>
    </row>
    <row r="70" spans="1:9" s="29" customFormat="1" ht="21" customHeight="1">
      <c r="A70" s="60"/>
      <c r="B70" s="26" t="s">
        <v>153</v>
      </c>
      <c r="C70" s="26" t="s">
        <v>359</v>
      </c>
      <c r="D70" s="12">
        <v>60008115357</v>
      </c>
      <c r="E70" s="30" t="s">
        <v>154</v>
      </c>
      <c r="F70" s="46">
        <v>262</v>
      </c>
      <c r="G70" s="46">
        <v>0</v>
      </c>
      <c r="H70" s="74">
        <v>0</v>
      </c>
      <c r="I70" s="51">
        <f t="shared" si="1"/>
        <v>262</v>
      </c>
    </row>
    <row r="71" spans="1:9" s="20" customFormat="1" ht="21" customHeight="1">
      <c r="A71" s="60"/>
      <c r="B71" s="26" t="s">
        <v>155</v>
      </c>
      <c r="C71" s="26" t="s">
        <v>312</v>
      </c>
      <c r="D71" s="12">
        <v>60008450632</v>
      </c>
      <c r="E71" s="30" t="s">
        <v>156</v>
      </c>
      <c r="F71" s="46">
        <v>45</v>
      </c>
      <c r="G71" s="46">
        <v>0</v>
      </c>
      <c r="H71" s="74">
        <v>0</v>
      </c>
      <c r="I71" s="51">
        <f t="shared" si="1"/>
        <v>45</v>
      </c>
    </row>
    <row r="72" spans="1:9" ht="21" customHeight="1">
      <c r="A72" s="60"/>
      <c r="B72" s="26" t="s">
        <v>157</v>
      </c>
      <c r="C72" s="26" t="s">
        <v>360</v>
      </c>
      <c r="D72" s="12">
        <v>60008427213</v>
      </c>
      <c r="E72" s="30" t="s">
        <v>158</v>
      </c>
      <c r="F72" s="46">
        <v>35</v>
      </c>
      <c r="G72" s="46">
        <v>0</v>
      </c>
      <c r="H72" s="74">
        <v>0</v>
      </c>
      <c r="I72" s="51">
        <f t="shared" si="1"/>
        <v>35</v>
      </c>
    </row>
    <row r="73" spans="1:9" ht="21" customHeight="1">
      <c r="A73" s="60"/>
      <c r="B73" s="26" t="s">
        <v>159</v>
      </c>
      <c r="C73" s="26" t="s">
        <v>361</v>
      </c>
      <c r="D73" s="12">
        <v>60008475541</v>
      </c>
      <c r="E73" s="30" t="s">
        <v>160</v>
      </c>
      <c r="F73" s="46">
        <f>927/2</f>
        <v>463.5</v>
      </c>
      <c r="G73" s="46">
        <v>0</v>
      </c>
      <c r="H73" s="74">
        <v>0</v>
      </c>
      <c r="I73" s="51">
        <f t="shared" si="1"/>
        <v>463.5</v>
      </c>
    </row>
    <row r="74" spans="1:9" ht="21" customHeight="1">
      <c r="A74" s="60"/>
      <c r="B74" s="26" t="s">
        <v>161</v>
      </c>
      <c r="C74" s="93"/>
      <c r="D74" s="12">
        <v>60008368817</v>
      </c>
      <c r="E74" s="30" t="s">
        <v>162</v>
      </c>
      <c r="F74" s="46">
        <v>128</v>
      </c>
      <c r="G74" s="46">
        <v>0</v>
      </c>
      <c r="H74" s="74">
        <v>0</v>
      </c>
      <c r="I74" s="51">
        <f t="shared" si="1"/>
        <v>128</v>
      </c>
    </row>
    <row r="75" spans="1:9" ht="21" customHeight="1">
      <c r="A75" s="60"/>
      <c r="B75" s="26" t="s">
        <v>163</v>
      </c>
      <c r="C75" s="26" t="s">
        <v>372</v>
      </c>
      <c r="D75" s="12">
        <v>60091069643</v>
      </c>
      <c r="E75" s="30" t="s">
        <v>164</v>
      </c>
      <c r="F75" s="46">
        <v>0</v>
      </c>
      <c r="G75" s="46">
        <v>0</v>
      </c>
      <c r="H75" s="74">
        <v>0</v>
      </c>
      <c r="I75" s="51">
        <f t="shared" si="1"/>
        <v>0</v>
      </c>
    </row>
    <row r="76" spans="1:9" ht="21" customHeight="1">
      <c r="A76" s="60"/>
      <c r="B76" s="26" t="s">
        <v>165</v>
      </c>
      <c r="C76" s="26" t="s">
        <v>363</v>
      </c>
      <c r="D76" s="12">
        <v>60089709450</v>
      </c>
      <c r="E76" s="30" t="s">
        <v>166</v>
      </c>
      <c r="F76" s="46">
        <f>227/2</f>
        <v>113.5</v>
      </c>
      <c r="G76" s="46">
        <v>0</v>
      </c>
      <c r="H76" s="74">
        <v>0</v>
      </c>
      <c r="I76" s="51">
        <f t="shared" si="1"/>
        <v>113.5</v>
      </c>
    </row>
    <row r="77" spans="1:9" ht="21" customHeight="1">
      <c r="A77" s="60"/>
      <c r="B77" s="26" t="s">
        <v>167</v>
      </c>
      <c r="C77" s="26" t="s">
        <v>362</v>
      </c>
      <c r="D77" s="12">
        <v>60089553056</v>
      </c>
      <c r="E77" s="30" t="s">
        <v>168</v>
      </c>
      <c r="F77" s="46">
        <f>3946/2</f>
        <v>1973</v>
      </c>
      <c r="G77" s="46">
        <v>0</v>
      </c>
      <c r="H77" s="74">
        <v>0</v>
      </c>
      <c r="I77" s="51">
        <f t="shared" si="1"/>
        <v>1973</v>
      </c>
    </row>
    <row r="78" spans="1:9" ht="21" customHeight="1">
      <c r="A78" s="60"/>
      <c r="B78" s="26" t="s">
        <v>169</v>
      </c>
      <c r="C78" s="26" t="s">
        <v>364</v>
      </c>
      <c r="D78" s="17">
        <v>60090692774</v>
      </c>
      <c r="E78" s="31" t="s">
        <v>170</v>
      </c>
      <c r="F78" s="46">
        <v>7</v>
      </c>
      <c r="G78" s="46">
        <v>0</v>
      </c>
      <c r="H78" s="74">
        <v>0</v>
      </c>
      <c r="I78" s="51">
        <f t="shared" si="1"/>
        <v>7</v>
      </c>
    </row>
    <row r="79" spans="1:9" ht="21" customHeight="1">
      <c r="A79" s="60"/>
      <c r="B79" s="26" t="s">
        <v>171</v>
      </c>
      <c r="C79" s="93"/>
      <c r="D79" s="12">
        <v>60006579681</v>
      </c>
      <c r="E79" s="30" t="s">
        <v>172</v>
      </c>
      <c r="F79" s="46">
        <v>43</v>
      </c>
      <c r="G79" s="46">
        <v>0</v>
      </c>
      <c r="H79" s="74">
        <v>0</v>
      </c>
      <c r="I79" s="51">
        <f t="shared" si="1"/>
        <v>43</v>
      </c>
    </row>
    <row r="80" spans="1:9" ht="21" customHeight="1">
      <c r="A80" s="60"/>
      <c r="B80" s="26" t="s">
        <v>173</v>
      </c>
      <c r="C80" s="26" t="s">
        <v>333</v>
      </c>
      <c r="D80" s="12">
        <v>60006586696</v>
      </c>
      <c r="E80" s="30" t="s">
        <v>174</v>
      </c>
      <c r="F80" s="46">
        <f>1123/2</f>
        <v>561.5</v>
      </c>
      <c r="G80" s="46">
        <v>0</v>
      </c>
      <c r="H80" s="74">
        <v>0</v>
      </c>
      <c r="I80" s="51">
        <f t="shared" si="1"/>
        <v>561.5</v>
      </c>
    </row>
    <row r="81" spans="1:9" s="29" customFormat="1" ht="21" customHeight="1">
      <c r="A81" s="60"/>
      <c r="B81" s="26" t="s">
        <v>175</v>
      </c>
      <c r="C81" s="93"/>
      <c r="D81" s="17">
        <v>60006586704</v>
      </c>
      <c r="E81" s="31" t="s">
        <v>176</v>
      </c>
      <c r="F81" s="46">
        <f>151/2</f>
        <v>75.5</v>
      </c>
      <c r="G81" s="46">
        <v>0</v>
      </c>
      <c r="H81" s="74">
        <v>0</v>
      </c>
      <c r="I81" s="51">
        <f t="shared" si="1"/>
        <v>75.5</v>
      </c>
    </row>
    <row r="82" spans="1:9" ht="21" customHeight="1">
      <c r="A82" s="60"/>
      <c r="B82" s="26" t="s">
        <v>177</v>
      </c>
      <c r="C82" s="26" t="s">
        <v>370</v>
      </c>
      <c r="D82" s="12">
        <v>60006587652</v>
      </c>
      <c r="E82" s="33" t="s">
        <v>178</v>
      </c>
      <c r="F82" s="47">
        <f>995/2</f>
        <v>497.5</v>
      </c>
      <c r="G82" s="47">
        <v>0</v>
      </c>
      <c r="H82" s="75">
        <v>0</v>
      </c>
      <c r="I82" s="51">
        <f t="shared" si="1"/>
        <v>497.5</v>
      </c>
    </row>
    <row r="83" spans="1:9" s="20" customFormat="1" ht="21" customHeight="1">
      <c r="A83" s="60"/>
      <c r="B83" s="26" t="s">
        <v>179</v>
      </c>
      <c r="C83" s="26" t="s">
        <v>334</v>
      </c>
      <c r="D83" s="12">
        <v>60006587671</v>
      </c>
      <c r="E83" s="30" t="s">
        <v>180</v>
      </c>
      <c r="F83" s="49">
        <f>832/2</f>
        <v>416</v>
      </c>
      <c r="G83" s="49">
        <v>0</v>
      </c>
      <c r="H83" s="76">
        <v>0</v>
      </c>
      <c r="I83" s="51">
        <f t="shared" si="1"/>
        <v>416</v>
      </c>
    </row>
    <row r="84" spans="1:9" ht="21" customHeight="1">
      <c r="A84" s="60"/>
      <c r="B84" s="26" t="s">
        <v>181</v>
      </c>
      <c r="C84" s="26" t="s">
        <v>335</v>
      </c>
      <c r="D84" s="12">
        <v>60006593566</v>
      </c>
      <c r="E84" s="30" t="s">
        <v>182</v>
      </c>
      <c r="F84" s="46">
        <f>639/2</f>
        <v>319.5</v>
      </c>
      <c r="G84" s="46">
        <v>0</v>
      </c>
      <c r="H84" s="74">
        <v>0</v>
      </c>
      <c r="I84" s="51">
        <f t="shared" si="1"/>
        <v>319.5</v>
      </c>
    </row>
    <row r="85" spans="1:9" ht="21" customHeight="1">
      <c r="A85" s="60"/>
      <c r="B85" s="26" t="s">
        <v>183</v>
      </c>
      <c r="C85" s="26" t="s">
        <v>336</v>
      </c>
      <c r="D85" s="12">
        <v>60006601563</v>
      </c>
      <c r="E85" s="30" t="s">
        <v>184</v>
      </c>
      <c r="F85" s="46">
        <f>933/2</f>
        <v>466.5</v>
      </c>
      <c r="G85" s="46">
        <v>0</v>
      </c>
      <c r="H85" s="74">
        <v>0</v>
      </c>
      <c r="I85" s="51">
        <f t="shared" si="1"/>
        <v>466.5</v>
      </c>
    </row>
    <row r="86" spans="1:9" ht="21" customHeight="1">
      <c r="A86" s="60"/>
      <c r="B86" s="26" t="s">
        <v>185</v>
      </c>
      <c r="C86" s="26" t="s">
        <v>310</v>
      </c>
      <c r="D86" s="12">
        <v>60006630551</v>
      </c>
      <c r="E86" s="30" t="s">
        <v>186</v>
      </c>
      <c r="F86" s="46">
        <f>1152/2</f>
        <v>576</v>
      </c>
      <c r="G86" s="46">
        <v>0</v>
      </c>
      <c r="H86" s="74">
        <v>0</v>
      </c>
      <c r="I86" s="51">
        <f t="shared" si="1"/>
        <v>576</v>
      </c>
    </row>
    <row r="87" spans="1:9" s="20" customFormat="1" ht="21" customHeight="1">
      <c r="A87" s="60"/>
      <c r="B87" s="26" t="s">
        <v>187</v>
      </c>
      <c r="C87" s="26" t="s">
        <v>287</v>
      </c>
      <c r="D87" s="12">
        <v>60006631759</v>
      </c>
      <c r="E87" s="30" t="s">
        <v>188</v>
      </c>
      <c r="F87" s="46">
        <f>594/2</f>
        <v>297</v>
      </c>
      <c r="G87" s="46">
        <v>0</v>
      </c>
      <c r="H87" s="74">
        <v>0</v>
      </c>
      <c r="I87" s="51">
        <f t="shared" si="1"/>
        <v>297</v>
      </c>
    </row>
    <row r="88" spans="1:9" s="29" customFormat="1" ht="21" customHeight="1">
      <c r="A88" s="60"/>
      <c r="B88" s="26" t="s">
        <v>189</v>
      </c>
      <c r="C88" s="26" t="s">
        <v>339</v>
      </c>
      <c r="D88" s="12">
        <v>60006631974</v>
      </c>
      <c r="E88" s="30" t="s">
        <v>190</v>
      </c>
      <c r="F88" s="46">
        <v>1896</v>
      </c>
      <c r="G88" s="46">
        <v>0</v>
      </c>
      <c r="H88" s="74">
        <v>0</v>
      </c>
      <c r="I88" s="51">
        <f t="shared" si="1"/>
        <v>1896</v>
      </c>
    </row>
    <row r="89" spans="1:9" ht="21" customHeight="1">
      <c r="A89" s="60"/>
      <c r="B89" s="26" t="s">
        <v>191</v>
      </c>
      <c r="C89" s="26" t="s">
        <v>356</v>
      </c>
      <c r="D89" s="12">
        <v>60007843337</v>
      </c>
      <c r="E89" s="30" t="s">
        <v>192</v>
      </c>
      <c r="F89" s="46">
        <f>1213/2</f>
        <v>606.5</v>
      </c>
      <c r="G89" s="46">
        <v>0</v>
      </c>
      <c r="H89" s="74">
        <v>0</v>
      </c>
      <c r="I89" s="51">
        <f t="shared" si="1"/>
        <v>606.5</v>
      </c>
    </row>
    <row r="90" spans="1:9" ht="21" customHeight="1">
      <c r="A90" s="60"/>
      <c r="B90" s="26" t="s">
        <v>193</v>
      </c>
      <c r="C90" s="26" t="s">
        <v>305</v>
      </c>
      <c r="D90" s="12">
        <v>60006631992</v>
      </c>
      <c r="E90" s="30" t="s">
        <v>194</v>
      </c>
      <c r="F90" s="46">
        <v>1751</v>
      </c>
      <c r="G90" s="46">
        <v>0</v>
      </c>
      <c r="H90" s="74">
        <v>0</v>
      </c>
      <c r="I90" s="51">
        <f t="shared" si="1"/>
        <v>1751</v>
      </c>
    </row>
    <row r="91" spans="1:9" ht="21" customHeight="1">
      <c r="A91" s="60"/>
      <c r="B91" s="26" t="s">
        <v>195</v>
      </c>
      <c r="C91" s="26" t="s">
        <v>341</v>
      </c>
      <c r="D91" s="12">
        <v>60006632013</v>
      </c>
      <c r="E91" s="30" t="s">
        <v>196</v>
      </c>
      <c r="F91" s="46">
        <f>210/2</f>
        <v>105</v>
      </c>
      <c r="G91" s="46">
        <v>0</v>
      </c>
      <c r="H91" s="74">
        <v>0</v>
      </c>
      <c r="I91" s="51">
        <f t="shared" si="1"/>
        <v>105</v>
      </c>
    </row>
    <row r="92" spans="1:9" ht="21" customHeight="1">
      <c r="A92" s="60"/>
      <c r="B92" s="26" t="s">
        <v>197</v>
      </c>
      <c r="C92" s="26" t="s">
        <v>288</v>
      </c>
      <c r="D92" s="12">
        <v>60006632028</v>
      </c>
      <c r="E92" s="30" t="s">
        <v>198</v>
      </c>
      <c r="F92" s="46">
        <f>4373/2</f>
        <v>2186.5</v>
      </c>
      <c r="G92" s="46">
        <v>0</v>
      </c>
      <c r="H92" s="74">
        <v>0</v>
      </c>
      <c r="I92" s="51">
        <f t="shared" si="1"/>
        <v>2186.5</v>
      </c>
    </row>
    <row r="93" spans="1:9" ht="21" customHeight="1">
      <c r="A93" s="60"/>
      <c r="B93" s="26" t="s">
        <v>199</v>
      </c>
      <c r="C93" s="26" t="s">
        <v>342</v>
      </c>
      <c r="D93" s="12">
        <v>60006632034</v>
      </c>
      <c r="E93" s="30" t="s">
        <v>200</v>
      </c>
      <c r="F93" s="46">
        <v>206</v>
      </c>
      <c r="G93" s="46">
        <v>0</v>
      </c>
      <c r="H93" s="74">
        <v>0</v>
      </c>
      <c r="I93" s="51">
        <f t="shared" si="1"/>
        <v>206</v>
      </c>
    </row>
    <row r="94" spans="1:9" ht="21" customHeight="1">
      <c r="A94" s="60"/>
      <c r="B94" s="26" t="s">
        <v>201</v>
      </c>
      <c r="C94" s="26" t="s">
        <v>343</v>
      </c>
      <c r="D94" s="12">
        <v>60006637176</v>
      </c>
      <c r="E94" s="30" t="s">
        <v>202</v>
      </c>
      <c r="F94" s="46">
        <f>432/2</f>
        <v>216</v>
      </c>
      <c r="G94" s="46">
        <v>0</v>
      </c>
      <c r="H94" s="74">
        <v>0</v>
      </c>
      <c r="I94" s="51">
        <f t="shared" si="1"/>
        <v>216</v>
      </c>
    </row>
    <row r="95" spans="1:9" ht="21" customHeight="1">
      <c r="A95" s="60"/>
      <c r="B95" s="26" t="s">
        <v>203</v>
      </c>
      <c r="C95" s="93"/>
      <c r="D95" s="12">
        <v>60006637235</v>
      </c>
      <c r="E95" s="30" t="s">
        <v>204</v>
      </c>
      <c r="F95" s="46">
        <f>151/2</f>
        <v>75.5</v>
      </c>
      <c r="G95" s="46">
        <v>0</v>
      </c>
      <c r="H95" s="74">
        <v>0</v>
      </c>
      <c r="I95" s="51">
        <f t="shared" si="1"/>
        <v>75.5</v>
      </c>
    </row>
    <row r="96" spans="1:9" ht="21" customHeight="1">
      <c r="A96" s="60"/>
      <c r="B96" s="26" t="s">
        <v>205</v>
      </c>
      <c r="C96" s="26" t="s">
        <v>306</v>
      </c>
      <c r="D96" s="12">
        <v>60006637714</v>
      </c>
      <c r="E96" s="30" t="s">
        <v>206</v>
      </c>
      <c r="F96" s="46">
        <f>354/2</f>
        <v>177</v>
      </c>
      <c r="G96" s="46">
        <v>0</v>
      </c>
      <c r="H96" s="74">
        <v>0</v>
      </c>
      <c r="I96" s="51">
        <f t="shared" si="1"/>
        <v>177</v>
      </c>
    </row>
    <row r="97" spans="1:9" ht="21" customHeight="1">
      <c r="A97" s="60"/>
      <c r="B97" s="26" t="s">
        <v>207</v>
      </c>
      <c r="C97" s="93"/>
      <c r="D97" s="12">
        <v>60006642108</v>
      </c>
      <c r="E97" s="30" t="s">
        <v>208</v>
      </c>
      <c r="F97" s="46">
        <f>151/2</f>
        <v>75.5</v>
      </c>
      <c r="G97" s="46">
        <v>0</v>
      </c>
      <c r="H97" s="74">
        <v>0</v>
      </c>
      <c r="I97" s="51">
        <f t="shared" si="1"/>
        <v>75.5</v>
      </c>
    </row>
    <row r="98" spans="1:9" ht="21" customHeight="1">
      <c r="A98" s="60"/>
      <c r="B98" s="26" t="s">
        <v>209</v>
      </c>
      <c r="C98" s="93"/>
      <c r="D98" s="12">
        <v>60006642114</v>
      </c>
      <c r="E98" s="30" t="s">
        <v>210</v>
      </c>
      <c r="F98" s="46">
        <f>151/2</f>
        <v>75.5</v>
      </c>
      <c r="G98" s="46">
        <v>0</v>
      </c>
      <c r="H98" s="74">
        <v>0</v>
      </c>
      <c r="I98" s="51">
        <f t="shared" si="1"/>
        <v>75.5</v>
      </c>
    </row>
    <row r="99" spans="1:9" ht="21" customHeight="1">
      <c r="A99" s="60"/>
      <c r="B99" s="26" t="s">
        <v>211</v>
      </c>
      <c r="C99" s="26" t="s">
        <v>290</v>
      </c>
      <c r="D99" s="12">
        <v>60006644426</v>
      </c>
      <c r="E99" s="30" t="s">
        <v>212</v>
      </c>
      <c r="F99" s="46">
        <v>341</v>
      </c>
      <c r="G99" s="46">
        <v>0</v>
      </c>
      <c r="H99" s="74">
        <v>0</v>
      </c>
      <c r="I99" s="51">
        <f t="shared" si="1"/>
        <v>341</v>
      </c>
    </row>
    <row r="100" spans="1:9" ht="21" customHeight="1">
      <c r="A100" s="60"/>
      <c r="B100" s="26" t="s">
        <v>213</v>
      </c>
      <c r="C100" s="93"/>
      <c r="D100" s="12">
        <v>60006644431</v>
      </c>
      <c r="E100" s="30" t="s">
        <v>214</v>
      </c>
      <c r="F100" s="46">
        <v>519</v>
      </c>
      <c r="G100" s="46">
        <v>0</v>
      </c>
      <c r="H100" s="74">
        <v>0</v>
      </c>
      <c r="I100" s="51">
        <f t="shared" si="1"/>
        <v>519</v>
      </c>
    </row>
    <row r="101" spans="1:9" ht="21" customHeight="1">
      <c r="A101" s="60"/>
      <c r="B101" s="26" t="s">
        <v>215</v>
      </c>
      <c r="C101" s="26" t="s">
        <v>344</v>
      </c>
      <c r="D101" s="12">
        <v>60006644654</v>
      </c>
      <c r="E101" s="30" t="s">
        <v>216</v>
      </c>
      <c r="F101" s="47">
        <f>190/2</f>
        <v>95</v>
      </c>
      <c r="G101" s="47">
        <v>0</v>
      </c>
      <c r="H101" s="75">
        <v>0</v>
      </c>
      <c r="I101" s="92">
        <f t="shared" si="1"/>
        <v>95</v>
      </c>
    </row>
    <row r="102" spans="1:9" ht="21" customHeight="1">
      <c r="A102" s="60"/>
      <c r="B102" s="26" t="s">
        <v>217</v>
      </c>
      <c r="C102" s="93"/>
      <c r="D102" s="12">
        <v>60007182237</v>
      </c>
      <c r="E102" s="30" t="s">
        <v>218</v>
      </c>
      <c r="F102" s="46"/>
      <c r="G102" s="46"/>
      <c r="H102" s="74"/>
      <c r="I102" s="51">
        <f t="shared" si="1"/>
        <v>0</v>
      </c>
    </row>
    <row r="103" spans="1:9" ht="21" customHeight="1">
      <c r="A103" s="60"/>
      <c r="B103" s="26" t="s">
        <v>219</v>
      </c>
      <c r="C103" s="26" t="s">
        <v>354</v>
      </c>
      <c r="D103" s="12">
        <v>60007843211</v>
      </c>
      <c r="E103" s="30" t="s">
        <v>220</v>
      </c>
      <c r="F103" s="46">
        <v>171</v>
      </c>
      <c r="G103" s="46">
        <v>0</v>
      </c>
      <c r="H103" s="74">
        <v>0</v>
      </c>
      <c r="I103" s="51">
        <f t="shared" si="1"/>
        <v>171</v>
      </c>
    </row>
    <row r="104" spans="1:9" ht="21" customHeight="1">
      <c r="A104" s="60"/>
      <c r="B104" s="26" t="s">
        <v>221</v>
      </c>
      <c r="C104" s="26" t="s">
        <v>355</v>
      </c>
      <c r="D104" s="12">
        <v>60007843225</v>
      </c>
      <c r="E104" s="30" t="s">
        <v>222</v>
      </c>
      <c r="F104" s="46">
        <v>10</v>
      </c>
      <c r="G104" s="46">
        <v>0</v>
      </c>
      <c r="H104" s="74">
        <v>0</v>
      </c>
      <c r="I104" s="51">
        <f t="shared" si="1"/>
        <v>10</v>
      </c>
    </row>
    <row r="105" spans="1:9" ht="21" customHeight="1">
      <c r="A105" s="60"/>
      <c r="B105" s="26" t="s">
        <v>223</v>
      </c>
      <c r="C105" s="26" t="s">
        <v>347</v>
      </c>
      <c r="D105" s="12">
        <v>60007211343</v>
      </c>
      <c r="E105" s="30" t="s">
        <v>224</v>
      </c>
      <c r="F105" s="46">
        <v>0</v>
      </c>
      <c r="G105" s="46">
        <v>0</v>
      </c>
      <c r="H105" s="74">
        <v>0</v>
      </c>
      <c r="I105" s="51">
        <f t="shared" si="1"/>
        <v>0</v>
      </c>
    </row>
    <row r="106" spans="1:9" ht="21" customHeight="1">
      <c r="A106" s="60"/>
      <c r="B106" s="26" t="s">
        <v>225</v>
      </c>
      <c r="C106" s="26" t="s">
        <v>346</v>
      </c>
      <c r="D106" s="12">
        <v>60007211339</v>
      </c>
      <c r="E106" s="30" t="s">
        <v>226</v>
      </c>
      <c r="F106" s="46">
        <f>318/2</f>
        <v>159</v>
      </c>
      <c r="G106" s="46">
        <v>0</v>
      </c>
      <c r="H106" s="74">
        <v>0</v>
      </c>
      <c r="I106" s="51">
        <f t="shared" si="1"/>
        <v>159</v>
      </c>
    </row>
    <row r="107" spans="1:9" ht="21" customHeight="1">
      <c r="A107" s="60"/>
      <c r="B107" s="26" t="s">
        <v>227</v>
      </c>
      <c r="C107" s="26" t="s">
        <v>291</v>
      </c>
      <c r="D107" s="12">
        <v>60007239731</v>
      </c>
      <c r="E107" s="30" t="s">
        <v>228</v>
      </c>
      <c r="F107" s="46">
        <f>2478/2</f>
        <v>1239</v>
      </c>
      <c r="G107" s="46">
        <v>0</v>
      </c>
      <c r="H107" s="74">
        <v>0</v>
      </c>
      <c r="I107" s="51">
        <f t="shared" si="1"/>
        <v>1239</v>
      </c>
    </row>
    <row r="108" spans="1:9" ht="21" customHeight="1">
      <c r="A108" s="60"/>
      <c r="B108" s="26" t="s">
        <v>229</v>
      </c>
      <c r="C108" s="26" t="s">
        <v>348</v>
      </c>
      <c r="D108" s="12">
        <v>60007483419</v>
      </c>
      <c r="E108" s="30" t="s">
        <v>230</v>
      </c>
      <c r="F108" s="46">
        <f>267/2</f>
        <v>133.5</v>
      </c>
      <c r="G108" s="46">
        <v>0</v>
      </c>
      <c r="H108" s="74">
        <v>0</v>
      </c>
      <c r="I108" s="51">
        <f t="shared" si="1"/>
        <v>133.5</v>
      </c>
    </row>
    <row r="109" spans="1:9" ht="21" customHeight="1">
      <c r="A109" s="60"/>
      <c r="B109" s="26" t="s">
        <v>231</v>
      </c>
      <c r="C109" s="26" t="s">
        <v>301</v>
      </c>
      <c r="D109" s="12">
        <v>60006579638</v>
      </c>
      <c r="E109" s="30" t="s">
        <v>232</v>
      </c>
      <c r="F109" s="46">
        <v>1</v>
      </c>
      <c r="G109" s="46">
        <v>0</v>
      </c>
      <c r="H109" s="74">
        <v>0</v>
      </c>
      <c r="I109" s="51">
        <f t="shared" si="1"/>
        <v>1</v>
      </c>
    </row>
    <row r="110" spans="1:9" ht="21" customHeight="1">
      <c r="A110" s="60"/>
      <c r="B110" s="26" t="s">
        <v>233</v>
      </c>
      <c r="C110" s="26" t="s">
        <v>349</v>
      </c>
      <c r="D110" s="12">
        <v>60006579657</v>
      </c>
      <c r="E110" s="30" t="s">
        <v>234</v>
      </c>
      <c r="F110" s="46">
        <v>637</v>
      </c>
      <c r="G110" s="46">
        <v>0</v>
      </c>
      <c r="H110" s="74">
        <v>0</v>
      </c>
      <c r="I110" s="51">
        <f t="shared" si="1"/>
        <v>637</v>
      </c>
    </row>
    <row r="111" spans="1:9" ht="21" customHeight="1">
      <c r="A111" s="60"/>
      <c r="B111" s="26" t="s">
        <v>235</v>
      </c>
      <c r="C111" s="93"/>
      <c r="D111" s="12">
        <v>60006579676</v>
      </c>
      <c r="E111" s="30" t="s">
        <v>236</v>
      </c>
      <c r="F111" s="46">
        <v>11</v>
      </c>
      <c r="G111" s="46">
        <v>0</v>
      </c>
      <c r="H111" s="74">
        <v>0</v>
      </c>
      <c r="I111" s="51">
        <f t="shared" si="1"/>
        <v>11</v>
      </c>
    </row>
    <row r="112" spans="1:9" ht="21" customHeight="1">
      <c r="A112" s="60"/>
      <c r="B112" s="26" t="s">
        <v>237</v>
      </c>
      <c r="C112" s="26" t="s">
        <v>351</v>
      </c>
      <c r="D112" s="12">
        <v>60007631681</v>
      </c>
      <c r="E112" s="30" t="s">
        <v>238</v>
      </c>
      <c r="F112" s="46">
        <v>17</v>
      </c>
      <c r="G112" s="46">
        <v>0</v>
      </c>
      <c r="H112" s="74">
        <v>0</v>
      </c>
      <c r="I112" s="51">
        <f t="shared" si="1"/>
        <v>17</v>
      </c>
    </row>
    <row r="113" spans="1:9" ht="21" customHeight="1">
      <c r="A113" s="60"/>
      <c r="B113" s="26" t="s">
        <v>239</v>
      </c>
      <c r="C113" s="26" t="s">
        <v>357</v>
      </c>
      <c r="D113" s="12">
        <v>60007848373</v>
      </c>
      <c r="E113" s="30" t="s">
        <v>240</v>
      </c>
      <c r="F113" s="46">
        <f>2094/2</f>
        <v>1047</v>
      </c>
      <c r="G113" s="46">
        <v>0</v>
      </c>
      <c r="H113" s="74">
        <v>0</v>
      </c>
      <c r="I113" s="51">
        <f t="shared" si="1"/>
        <v>1047</v>
      </c>
    </row>
    <row r="114" spans="1:9" ht="21" customHeight="1">
      <c r="A114" s="60"/>
      <c r="B114" s="26" t="s">
        <v>241</v>
      </c>
      <c r="C114" s="26" t="s">
        <v>338</v>
      </c>
      <c r="D114" s="12">
        <v>60006631880</v>
      </c>
      <c r="E114" s="30" t="s">
        <v>242</v>
      </c>
      <c r="F114" s="46">
        <f>366/2</f>
        <v>183</v>
      </c>
      <c r="G114" s="46">
        <v>0</v>
      </c>
      <c r="H114" s="74">
        <v>0</v>
      </c>
      <c r="I114" s="51">
        <f t="shared" si="1"/>
        <v>183</v>
      </c>
    </row>
    <row r="115" spans="1:9" ht="21" customHeight="1">
      <c r="A115" s="64"/>
      <c r="B115" s="26" t="s">
        <v>243</v>
      </c>
      <c r="C115" s="26" t="s">
        <v>320</v>
      </c>
      <c r="D115" s="12">
        <v>60006631920</v>
      </c>
      <c r="E115" s="30" t="s">
        <v>244</v>
      </c>
      <c r="F115" s="49">
        <f>2333/2</f>
        <v>1166.5</v>
      </c>
      <c r="G115" s="49">
        <v>0</v>
      </c>
      <c r="H115" s="76">
        <v>0</v>
      </c>
      <c r="I115" s="51">
        <f t="shared" si="1"/>
        <v>1166.5</v>
      </c>
    </row>
    <row r="116" spans="1:9" ht="21" customHeight="1">
      <c r="A116" s="64"/>
      <c r="B116" s="26" t="s">
        <v>245</v>
      </c>
      <c r="C116" s="26" t="s">
        <v>340</v>
      </c>
      <c r="D116" s="12">
        <v>60006631987</v>
      </c>
      <c r="E116" s="30" t="s">
        <v>246</v>
      </c>
      <c r="F116" s="49">
        <f>4342/2</f>
        <v>2171</v>
      </c>
      <c r="G116" s="49">
        <v>0</v>
      </c>
      <c r="H116" s="76">
        <v>0</v>
      </c>
      <c r="I116" s="51">
        <f t="shared" si="1"/>
        <v>2171</v>
      </c>
    </row>
    <row r="117" spans="1:9" ht="21" customHeight="1">
      <c r="A117" s="64"/>
      <c r="B117" s="26" t="s">
        <v>247</v>
      </c>
      <c r="C117" s="26" t="s">
        <v>373</v>
      </c>
      <c r="D117" s="12">
        <v>60006632009</v>
      </c>
      <c r="E117" s="30" t="s">
        <v>248</v>
      </c>
      <c r="F117" s="49">
        <f>3879/2</f>
        <v>1939.5</v>
      </c>
      <c r="G117" s="49">
        <v>0</v>
      </c>
      <c r="H117" s="76">
        <v>0</v>
      </c>
      <c r="I117" s="51">
        <f t="shared" si="1"/>
        <v>1939.5</v>
      </c>
    </row>
    <row r="118" spans="1:9" ht="21" customHeight="1">
      <c r="A118" s="64"/>
      <c r="B118" s="26" t="s">
        <v>249</v>
      </c>
      <c r="C118" s="26" t="s">
        <v>350</v>
      </c>
      <c r="D118" s="12">
        <v>60007611240</v>
      </c>
      <c r="E118" s="30" t="s">
        <v>250</v>
      </c>
      <c r="F118" s="49">
        <f>3122/2</f>
        <v>1561</v>
      </c>
      <c r="G118" s="49">
        <v>0</v>
      </c>
      <c r="H118" s="76">
        <v>0</v>
      </c>
      <c r="I118" s="51">
        <f t="shared" si="1"/>
        <v>1561</v>
      </c>
    </row>
    <row r="119" spans="1:9" ht="21" customHeight="1">
      <c r="A119" s="64"/>
      <c r="B119" s="26" t="s">
        <v>251</v>
      </c>
      <c r="C119" s="26" t="s">
        <v>337</v>
      </c>
      <c r="D119" s="12">
        <v>60006613294</v>
      </c>
      <c r="E119" s="30" t="s">
        <v>252</v>
      </c>
      <c r="F119" s="49">
        <f>207/2</f>
        <v>103.5</v>
      </c>
      <c r="G119" s="49">
        <v>0</v>
      </c>
      <c r="H119" s="76">
        <v>0</v>
      </c>
      <c r="I119" s="51">
        <f t="shared" si="1"/>
        <v>103.5</v>
      </c>
    </row>
    <row r="120" spans="1:9" ht="21" customHeight="1">
      <c r="A120" s="64"/>
      <c r="B120" s="26" t="s">
        <v>253</v>
      </c>
      <c r="C120" s="26" t="s">
        <v>303</v>
      </c>
      <c r="D120" s="12">
        <v>60006631725</v>
      </c>
      <c r="E120" s="30" t="s">
        <v>254</v>
      </c>
      <c r="F120" s="49">
        <f>1646/2</f>
        <v>823</v>
      </c>
      <c r="G120" s="49">
        <v>0</v>
      </c>
      <c r="H120" s="76">
        <v>0</v>
      </c>
      <c r="I120" s="51">
        <f t="shared" si="1"/>
        <v>823</v>
      </c>
    </row>
    <row r="121" spans="1:9" ht="21" customHeight="1">
      <c r="A121" s="64"/>
      <c r="B121" s="26" t="s">
        <v>255</v>
      </c>
      <c r="C121" s="26" t="s">
        <v>304</v>
      </c>
      <c r="D121" s="12">
        <v>60006631818</v>
      </c>
      <c r="E121" s="30" t="s">
        <v>256</v>
      </c>
      <c r="F121" s="49">
        <f>101*0.25+66/2</f>
        <v>58.25</v>
      </c>
      <c r="G121" s="49">
        <v>0</v>
      </c>
      <c r="H121" s="76">
        <v>0</v>
      </c>
      <c r="I121" s="51">
        <f aca="true" t="shared" si="2" ref="I121:I130">F121+G121+H121</f>
        <v>58.25</v>
      </c>
    </row>
    <row r="122" spans="1:9" ht="21" customHeight="1">
      <c r="A122" s="64"/>
      <c r="B122" s="25" t="s">
        <v>257</v>
      </c>
      <c r="C122" s="95"/>
      <c r="D122" s="14">
        <v>60006631824</v>
      </c>
      <c r="E122" s="45" t="s">
        <v>258</v>
      </c>
      <c r="F122" s="49">
        <f>10601*0.25+8845*0.25</f>
        <v>4861.5</v>
      </c>
      <c r="G122" s="49">
        <v>0</v>
      </c>
      <c r="H122" s="76">
        <v>0</v>
      </c>
      <c r="I122" s="51">
        <f t="shared" si="2"/>
        <v>4861.5</v>
      </c>
    </row>
    <row r="123" spans="1:9" ht="21" customHeight="1">
      <c r="A123" s="64"/>
      <c r="B123" s="25" t="s">
        <v>259</v>
      </c>
      <c r="C123" s="25" t="s">
        <v>345</v>
      </c>
      <c r="D123" s="14">
        <v>60006872372</v>
      </c>
      <c r="E123" s="45" t="s">
        <v>260</v>
      </c>
      <c r="F123" s="49">
        <v>130</v>
      </c>
      <c r="G123" s="49">
        <v>0</v>
      </c>
      <c r="H123" s="76">
        <v>0</v>
      </c>
      <c r="I123" s="51">
        <f t="shared" si="2"/>
        <v>130</v>
      </c>
    </row>
    <row r="124" spans="1:9" ht="21" customHeight="1">
      <c r="A124" s="64"/>
      <c r="B124" s="25" t="s">
        <v>261</v>
      </c>
      <c r="C124" s="25" t="s">
        <v>321</v>
      </c>
      <c r="D124" s="14">
        <v>60006974384</v>
      </c>
      <c r="E124" s="45" t="s">
        <v>262</v>
      </c>
      <c r="F124" s="49">
        <f>1529/2</f>
        <v>764.5</v>
      </c>
      <c r="G124" s="49">
        <v>0</v>
      </c>
      <c r="H124" s="76">
        <v>0</v>
      </c>
      <c r="I124" s="51">
        <f t="shared" si="2"/>
        <v>764.5</v>
      </c>
    </row>
    <row r="125" spans="1:9" ht="21" customHeight="1">
      <c r="A125" s="64"/>
      <c r="B125" s="25" t="s">
        <v>263</v>
      </c>
      <c r="C125" s="25" t="s">
        <v>368</v>
      </c>
      <c r="D125" s="14">
        <v>60006581324</v>
      </c>
      <c r="E125" s="45" t="s">
        <v>264</v>
      </c>
      <c r="F125" s="49">
        <v>2826</v>
      </c>
      <c r="G125" s="49">
        <v>0</v>
      </c>
      <c r="H125" s="76">
        <v>0</v>
      </c>
      <c r="I125" s="51">
        <f t="shared" si="2"/>
        <v>2826</v>
      </c>
    </row>
    <row r="126" spans="1:9" ht="21" customHeight="1">
      <c r="A126" s="64"/>
      <c r="B126" s="25" t="s">
        <v>265</v>
      </c>
      <c r="C126" s="25" t="s">
        <v>352</v>
      </c>
      <c r="D126" s="14">
        <v>60007651627</v>
      </c>
      <c r="E126" s="45" t="s">
        <v>266</v>
      </c>
      <c r="F126" s="49">
        <v>36</v>
      </c>
      <c r="G126" s="49">
        <v>0</v>
      </c>
      <c r="H126" s="76">
        <v>0</v>
      </c>
      <c r="I126" s="51">
        <f t="shared" si="2"/>
        <v>36</v>
      </c>
    </row>
    <row r="127" spans="1:9" ht="21" customHeight="1">
      <c r="A127" s="64"/>
      <c r="B127" s="25" t="s">
        <v>267</v>
      </c>
      <c r="C127" s="95"/>
      <c r="D127" s="14">
        <v>83007351147</v>
      </c>
      <c r="E127" s="45" t="s">
        <v>268</v>
      </c>
      <c r="F127" s="49">
        <v>12</v>
      </c>
      <c r="G127" s="49">
        <v>0</v>
      </c>
      <c r="H127" s="76">
        <v>0</v>
      </c>
      <c r="I127" s="51">
        <f t="shared" si="2"/>
        <v>12</v>
      </c>
    </row>
    <row r="128" spans="1:9" ht="21" customHeight="1">
      <c r="A128" s="64"/>
      <c r="B128" s="25" t="s">
        <v>269</v>
      </c>
      <c r="C128" s="25"/>
      <c r="D128" s="14">
        <v>83007705623</v>
      </c>
      <c r="E128" s="45" t="s">
        <v>270</v>
      </c>
      <c r="F128" s="49">
        <v>19</v>
      </c>
      <c r="G128" s="49">
        <v>0</v>
      </c>
      <c r="H128" s="76">
        <v>0</v>
      </c>
      <c r="I128" s="51">
        <f t="shared" si="2"/>
        <v>19</v>
      </c>
    </row>
    <row r="129" spans="1:9" ht="21" customHeight="1">
      <c r="A129" s="64"/>
      <c r="B129" s="25" t="s">
        <v>271</v>
      </c>
      <c r="C129" s="25"/>
      <c r="D129" s="14">
        <v>83007812488</v>
      </c>
      <c r="E129" s="45" t="s">
        <v>272</v>
      </c>
      <c r="F129" s="49">
        <v>322</v>
      </c>
      <c r="G129" s="49">
        <v>0</v>
      </c>
      <c r="H129" s="76">
        <v>0</v>
      </c>
      <c r="I129" s="51">
        <f t="shared" si="2"/>
        <v>322</v>
      </c>
    </row>
    <row r="130" spans="1:9" ht="21" customHeight="1">
      <c r="A130" s="64"/>
      <c r="B130" s="25" t="s">
        <v>273</v>
      </c>
      <c r="C130" s="25"/>
      <c r="D130" s="14">
        <v>83007946440</v>
      </c>
      <c r="E130" s="45" t="s">
        <v>274</v>
      </c>
      <c r="F130" s="49"/>
      <c r="G130" s="49"/>
      <c r="H130" s="76"/>
      <c r="I130" s="51">
        <f t="shared" si="2"/>
        <v>0</v>
      </c>
    </row>
    <row r="131" spans="1:9" ht="21" customHeight="1" thickBot="1">
      <c r="A131" s="65" t="s">
        <v>0</v>
      </c>
      <c r="B131" s="66"/>
      <c r="C131" s="66"/>
      <c r="D131" s="13"/>
      <c r="E131" s="13"/>
      <c r="F131" s="69"/>
      <c r="G131" s="69"/>
      <c r="H131" s="77"/>
      <c r="I131" s="70">
        <f>SUM(I8:I130)</f>
        <v>136650.25</v>
      </c>
    </row>
    <row r="132" ht="13.5" thickTop="1"/>
  </sheetData>
  <sheetProtection/>
  <mergeCells count="3">
    <mergeCell ref="F2:I2"/>
    <mergeCell ref="G3:I3"/>
    <mergeCell ref="F4:I4"/>
  </mergeCells>
  <printOptions horizontalCentered="1"/>
  <pageMargins left="0.3937007874015748" right="0.3937007874015748" top="0.5905511811023623" bottom="0.5905511811023623" header="0" footer="0"/>
  <pageSetup fitToHeight="0" fitToWidth="1" horizontalDpi="300" verticalDpi="300" orientation="portrait" paperSize="9" scale="31" r:id="rId1"/>
  <headerFooter alignWithMargins="0">
    <oddHeader>&amp;R&amp;D</oddHeader>
    <oddFooter>&amp;CPágina &amp;P de &amp;N</oddFooter>
  </headerFooter>
  <colBreaks count="1" manualBreakCount="1">
    <brk id="9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 tint="-0.7499799728393555"/>
    <pageSetUpPr fitToPage="1"/>
  </sheetPr>
  <dimension ref="A2:M131"/>
  <sheetViews>
    <sheetView zoomScale="90" zoomScaleNormal="90" zoomScalePageLayoutView="0" workbookViewId="0" topLeftCell="D125">
      <selection activeCell="A56" sqref="A54:IV56"/>
    </sheetView>
  </sheetViews>
  <sheetFormatPr defaultColWidth="11.421875" defaultRowHeight="12.75"/>
  <cols>
    <col min="1" max="1" width="13.28125" style="1" customWidth="1"/>
    <col min="2" max="2" width="88.140625" style="21" customWidth="1"/>
    <col min="3" max="3" width="102.8515625" style="21" customWidth="1"/>
    <col min="4" max="4" width="22.00390625" style="1" customWidth="1"/>
    <col min="5" max="5" width="34.421875" style="1" hidden="1" customWidth="1"/>
    <col min="6" max="6" width="17.7109375" style="2" customWidth="1"/>
    <col min="7" max="7" width="17.00390625" style="2" customWidth="1"/>
    <col min="8" max="8" width="16.140625" style="2" customWidth="1"/>
    <col min="9" max="9" width="18.421875" style="2" bestFit="1" customWidth="1"/>
    <col min="10" max="10" width="13.7109375" style="1" customWidth="1"/>
    <col min="11" max="11" width="11.57421875" style="1" bestFit="1" customWidth="1"/>
    <col min="12" max="16384" width="11.421875" style="1" customWidth="1"/>
  </cols>
  <sheetData>
    <row r="1" ht="15.75" customHeight="1"/>
    <row r="2" spans="7:9" ht="42.75" customHeight="1">
      <c r="G2" s="96" t="s">
        <v>9</v>
      </c>
      <c r="H2" s="96"/>
      <c r="I2" s="96"/>
    </row>
    <row r="3" spans="8:9" ht="33.75" customHeight="1">
      <c r="H3" s="97"/>
      <c r="I3" s="97"/>
    </row>
    <row r="4" spans="7:9" ht="21.75" customHeight="1">
      <c r="G4" s="98" t="s">
        <v>121</v>
      </c>
      <c r="H4" s="98"/>
      <c r="I4" s="98"/>
    </row>
    <row r="5" ht="15.75" customHeight="1"/>
    <row r="6" spans="1:8" ht="15.75" customHeight="1" thickBot="1">
      <c r="A6" s="3"/>
      <c r="B6" s="22"/>
      <c r="C6" s="22"/>
      <c r="D6" s="3"/>
      <c r="E6" s="3"/>
      <c r="F6" s="4"/>
      <c r="G6" s="4"/>
      <c r="H6" s="4"/>
    </row>
    <row r="7" spans="1:9" ht="21" customHeight="1" thickTop="1">
      <c r="A7" s="5" t="s">
        <v>1</v>
      </c>
      <c r="B7" s="23" t="s">
        <v>3</v>
      </c>
      <c r="C7" s="23" t="s">
        <v>285</v>
      </c>
      <c r="D7" s="11" t="s">
        <v>2</v>
      </c>
      <c r="E7" s="16" t="s">
        <v>11</v>
      </c>
      <c r="F7" s="6" t="s">
        <v>6</v>
      </c>
      <c r="G7" s="6" t="s">
        <v>7</v>
      </c>
      <c r="H7" s="6" t="s">
        <v>8</v>
      </c>
      <c r="I7" s="7" t="s">
        <v>0</v>
      </c>
    </row>
    <row r="8" spans="1:9" ht="21" customHeight="1">
      <c r="A8" s="27"/>
      <c r="B8" s="72" t="s">
        <v>15</v>
      </c>
      <c r="C8" s="72" t="s">
        <v>316</v>
      </c>
      <c r="D8" s="12">
        <v>83006884161</v>
      </c>
      <c r="E8" s="30" t="s">
        <v>16</v>
      </c>
      <c r="F8" s="8">
        <v>233.44</v>
      </c>
      <c r="G8" s="8">
        <v>6.36</v>
      </c>
      <c r="H8" s="8">
        <v>1.5</v>
      </c>
      <c r="I8" s="9">
        <f aca="true" t="shared" si="0" ref="I8:I58">SUM(F8:H8)</f>
        <v>241.3</v>
      </c>
    </row>
    <row r="9" spans="1:9" ht="21" customHeight="1">
      <c r="A9" s="27"/>
      <c r="B9" s="26" t="s">
        <v>17</v>
      </c>
      <c r="C9" s="26" t="s">
        <v>314</v>
      </c>
      <c r="D9" s="12">
        <v>83001699293</v>
      </c>
      <c r="E9" s="30" t="s">
        <v>19</v>
      </c>
      <c r="F9" s="8">
        <v>325</v>
      </c>
      <c r="G9" s="8">
        <v>9.57</v>
      </c>
      <c r="H9" s="8">
        <v>0.43</v>
      </c>
      <c r="I9" s="9">
        <f t="shared" si="0"/>
        <v>335</v>
      </c>
    </row>
    <row r="10" spans="1:9" ht="21" customHeight="1">
      <c r="A10" s="27"/>
      <c r="B10" s="26" t="s">
        <v>18</v>
      </c>
      <c r="C10" s="26" t="s">
        <v>324</v>
      </c>
      <c r="D10" s="12">
        <v>83002793469</v>
      </c>
      <c r="E10" s="30" t="s">
        <v>20</v>
      </c>
      <c r="F10" s="8">
        <v>1290.64</v>
      </c>
      <c r="G10" s="8">
        <v>37.55</v>
      </c>
      <c r="H10" s="8">
        <v>2.73</v>
      </c>
      <c r="I10" s="9">
        <f t="shared" si="0"/>
        <v>1330.92</v>
      </c>
    </row>
    <row r="11" spans="1:9" ht="21" customHeight="1">
      <c r="A11" s="27"/>
      <c r="B11" s="26" t="s">
        <v>21</v>
      </c>
      <c r="C11" s="26" t="s">
        <v>365</v>
      </c>
      <c r="D11" s="12">
        <v>83005319585</v>
      </c>
      <c r="E11" s="30" t="s">
        <v>22</v>
      </c>
      <c r="F11" s="8">
        <v>227.08</v>
      </c>
      <c r="G11" s="8">
        <v>6.13</v>
      </c>
      <c r="H11" s="8">
        <v>1.58</v>
      </c>
      <c r="I11" s="9">
        <f t="shared" si="0"/>
        <v>234.79000000000002</v>
      </c>
    </row>
    <row r="12" spans="1:9" ht="21" customHeight="1">
      <c r="A12" s="27"/>
      <c r="B12" s="26" t="s">
        <v>23</v>
      </c>
      <c r="C12" s="26" t="s">
        <v>325</v>
      </c>
      <c r="D12" s="61">
        <v>999395654431</v>
      </c>
      <c r="E12" s="30" t="s">
        <v>24</v>
      </c>
      <c r="F12" s="8">
        <v>1653.26</v>
      </c>
      <c r="G12" s="8">
        <v>48.43</v>
      </c>
      <c r="H12" s="8">
        <v>2.73</v>
      </c>
      <c r="I12" s="9">
        <f t="shared" si="0"/>
        <v>1704.42</v>
      </c>
    </row>
    <row r="13" spans="1:9" ht="21" customHeight="1">
      <c r="A13" s="27"/>
      <c r="B13" s="26" t="s">
        <v>25</v>
      </c>
      <c r="C13" s="26" t="s">
        <v>315</v>
      </c>
      <c r="D13" s="61">
        <v>999395655454</v>
      </c>
      <c r="E13" s="30" t="s">
        <v>26</v>
      </c>
      <c r="F13" s="8">
        <v>692.12</v>
      </c>
      <c r="G13" s="8">
        <v>19.59</v>
      </c>
      <c r="H13" s="8">
        <v>2.73</v>
      </c>
      <c r="I13" s="9">
        <f t="shared" si="0"/>
        <v>714.44</v>
      </c>
    </row>
    <row r="14" spans="1:9" ht="21" customHeight="1">
      <c r="A14" s="27"/>
      <c r="B14" s="26" t="s">
        <v>27</v>
      </c>
      <c r="C14" s="26" t="s">
        <v>326</v>
      </c>
      <c r="D14" s="61">
        <v>512012286</v>
      </c>
      <c r="E14" s="30" t="s">
        <v>28</v>
      </c>
      <c r="F14" s="8">
        <v>969.17</v>
      </c>
      <c r="G14" s="8">
        <v>27.91</v>
      </c>
      <c r="H14" s="8">
        <v>2.73</v>
      </c>
      <c r="I14" s="9">
        <f t="shared" si="0"/>
        <v>999.81</v>
      </c>
    </row>
    <row r="15" spans="1:9" ht="21" customHeight="1">
      <c r="A15" s="27"/>
      <c r="B15" s="26" t="s">
        <v>29</v>
      </c>
      <c r="C15" s="26" t="s">
        <v>327</v>
      </c>
      <c r="D15" s="61">
        <v>999395659634</v>
      </c>
      <c r="E15" s="30" t="s">
        <v>30</v>
      </c>
      <c r="F15" s="8">
        <v>1313.31</v>
      </c>
      <c r="G15" s="8">
        <v>39.14</v>
      </c>
      <c r="H15" s="8">
        <v>0.59</v>
      </c>
      <c r="I15" s="9">
        <f t="shared" si="0"/>
        <v>1353.04</v>
      </c>
    </row>
    <row r="16" spans="1:9" ht="21" customHeight="1">
      <c r="A16" s="27"/>
      <c r="B16" s="26" t="s">
        <v>31</v>
      </c>
      <c r="C16" s="26" t="s">
        <v>317</v>
      </c>
      <c r="D16" s="61">
        <v>999395660462</v>
      </c>
      <c r="E16" s="30" t="s">
        <v>32</v>
      </c>
      <c r="F16" s="8">
        <v>405.83</v>
      </c>
      <c r="G16" s="8">
        <v>11.51</v>
      </c>
      <c r="H16" s="8">
        <v>1.54</v>
      </c>
      <c r="I16" s="9">
        <f t="shared" si="0"/>
        <v>418.88</v>
      </c>
    </row>
    <row r="17" spans="1:9" ht="21" customHeight="1">
      <c r="A17" s="27"/>
      <c r="B17" s="26" t="s">
        <v>33</v>
      </c>
      <c r="C17" s="26" t="s">
        <v>366</v>
      </c>
      <c r="D17" s="61">
        <v>999395662284</v>
      </c>
      <c r="E17" s="30" t="s">
        <v>34</v>
      </c>
      <c r="F17" s="8">
        <v>1509.43</v>
      </c>
      <c r="G17" s="8">
        <v>44.6</v>
      </c>
      <c r="H17" s="8">
        <v>1.58</v>
      </c>
      <c r="I17" s="9">
        <f t="shared" si="0"/>
        <v>1555.61</v>
      </c>
    </row>
    <row r="18" spans="1:9" ht="21" customHeight="1">
      <c r="A18" s="27"/>
      <c r="B18" s="26" t="s">
        <v>35</v>
      </c>
      <c r="C18" s="26" t="s">
        <v>292</v>
      </c>
      <c r="D18" s="61">
        <v>999395662947</v>
      </c>
      <c r="E18" s="30" t="s">
        <v>36</v>
      </c>
      <c r="F18" s="8">
        <v>445.22</v>
      </c>
      <c r="G18" s="8">
        <v>12.72</v>
      </c>
      <c r="H18" s="8">
        <v>1.5</v>
      </c>
      <c r="I18" s="9">
        <f t="shared" si="0"/>
        <v>459.44000000000005</v>
      </c>
    </row>
    <row r="19" spans="1:9" ht="21" customHeight="1">
      <c r="A19" s="27"/>
      <c r="B19" s="26" t="s">
        <v>37</v>
      </c>
      <c r="C19" s="26" t="s">
        <v>369</v>
      </c>
      <c r="D19" s="61">
        <v>999395663410</v>
      </c>
      <c r="E19" s="30" t="s">
        <v>38</v>
      </c>
      <c r="F19" s="8">
        <v>447.4</v>
      </c>
      <c r="G19" s="8">
        <v>12.74</v>
      </c>
      <c r="H19" s="8">
        <v>1.58</v>
      </c>
      <c r="I19" s="9">
        <f t="shared" si="0"/>
        <v>461.71999999999997</v>
      </c>
    </row>
    <row r="20" spans="1:9" ht="21" customHeight="1">
      <c r="A20" s="27"/>
      <c r="B20" s="26" t="s">
        <v>39</v>
      </c>
      <c r="C20" s="26" t="s">
        <v>293</v>
      </c>
      <c r="D20" s="61">
        <v>999395665004</v>
      </c>
      <c r="E20" s="30" t="s">
        <v>40</v>
      </c>
      <c r="F20" s="8">
        <v>836.74</v>
      </c>
      <c r="G20" s="8">
        <v>24.46</v>
      </c>
      <c r="H20" s="8">
        <v>1.5</v>
      </c>
      <c r="I20" s="9">
        <f t="shared" si="0"/>
        <v>862.7</v>
      </c>
    </row>
    <row r="21" spans="1:9" ht="21" customHeight="1">
      <c r="A21" s="27"/>
      <c r="B21" s="26" t="s">
        <v>41</v>
      </c>
      <c r="C21" s="26" t="s">
        <v>367</v>
      </c>
      <c r="D21" s="61">
        <v>999395665500</v>
      </c>
      <c r="E21" s="30" t="s">
        <v>42</v>
      </c>
      <c r="F21" s="8">
        <v>618.36</v>
      </c>
      <c r="G21" s="8">
        <v>17.89</v>
      </c>
      <c r="H21" s="8">
        <v>1.54</v>
      </c>
      <c r="I21" s="9">
        <f t="shared" si="0"/>
        <v>637.79</v>
      </c>
    </row>
    <row r="22" spans="1:9" ht="21" customHeight="1">
      <c r="A22" s="27"/>
      <c r="B22" s="26" t="s">
        <v>43</v>
      </c>
      <c r="C22" s="93"/>
      <c r="D22" s="61">
        <v>999395674678</v>
      </c>
      <c r="E22" s="30" t="s">
        <v>44</v>
      </c>
      <c r="F22" s="8">
        <v>195.67</v>
      </c>
      <c r="G22" s="8">
        <v>5.29</v>
      </c>
      <c r="H22" s="8">
        <v>1.37</v>
      </c>
      <c r="I22" s="9">
        <f t="shared" si="0"/>
        <v>202.32999999999998</v>
      </c>
    </row>
    <row r="23" spans="1:9" ht="21" customHeight="1">
      <c r="A23" s="27"/>
      <c r="B23" s="26" t="s">
        <v>45</v>
      </c>
      <c r="C23" s="26" t="s">
        <v>307</v>
      </c>
      <c r="D23" s="61">
        <v>999395675751</v>
      </c>
      <c r="E23" s="30" t="s">
        <v>46</v>
      </c>
      <c r="F23" s="8">
        <v>513.97</v>
      </c>
      <c r="G23" s="8">
        <v>14.74</v>
      </c>
      <c r="H23" s="8">
        <v>1.58</v>
      </c>
      <c r="I23" s="9">
        <f t="shared" si="0"/>
        <v>530.2900000000001</v>
      </c>
    </row>
    <row r="24" spans="1:9" s="19" customFormat="1" ht="21" customHeight="1">
      <c r="A24" s="27"/>
      <c r="B24" s="26" t="s">
        <v>47</v>
      </c>
      <c r="C24" s="26" t="s">
        <v>318</v>
      </c>
      <c r="D24" s="61">
        <v>999395676257</v>
      </c>
      <c r="E24" s="30" t="s">
        <v>48</v>
      </c>
      <c r="F24" s="8">
        <v>247.99</v>
      </c>
      <c r="G24" s="8">
        <v>6.76</v>
      </c>
      <c r="H24" s="8">
        <v>1.58</v>
      </c>
      <c r="I24" s="9">
        <f t="shared" si="0"/>
        <v>256.33</v>
      </c>
    </row>
    <row r="25" spans="1:9" s="19" customFormat="1" ht="21" customHeight="1">
      <c r="A25" s="27"/>
      <c r="B25" s="26" t="s">
        <v>49</v>
      </c>
      <c r="C25" s="26" t="s">
        <v>328</v>
      </c>
      <c r="D25" s="61">
        <v>999395676905</v>
      </c>
      <c r="E25" s="30" t="s">
        <v>50</v>
      </c>
      <c r="F25" s="8"/>
      <c r="G25" s="8"/>
      <c r="H25" s="8"/>
      <c r="I25" s="9">
        <f t="shared" si="0"/>
        <v>0</v>
      </c>
    </row>
    <row r="26" spans="1:9" ht="21" customHeight="1">
      <c r="A26" s="27"/>
      <c r="B26" s="26" t="s">
        <v>51</v>
      </c>
      <c r="C26" s="93"/>
      <c r="D26" s="61">
        <v>999395677339</v>
      </c>
      <c r="E26" s="30" t="s">
        <v>52</v>
      </c>
      <c r="F26" s="8">
        <v>439.93</v>
      </c>
      <c r="G26" s="8">
        <v>12.56</v>
      </c>
      <c r="H26" s="8">
        <v>1.5</v>
      </c>
      <c r="I26" s="9">
        <f t="shared" si="0"/>
        <v>453.99</v>
      </c>
    </row>
    <row r="27" spans="1:9" ht="21" customHeight="1">
      <c r="A27" s="27"/>
      <c r="B27" s="26" t="s">
        <v>53</v>
      </c>
      <c r="C27" s="93"/>
      <c r="D27" s="61">
        <v>999395680029</v>
      </c>
      <c r="E27" s="30" t="s">
        <v>54</v>
      </c>
      <c r="F27" s="8">
        <v>370.32</v>
      </c>
      <c r="G27" s="8">
        <v>10.47</v>
      </c>
      <c r="H27" s="8">
        <v>1.5</v>
      </c>
      <c r="I27" s="9">
        <f t="shared" si="0"/>
        <v>382.29</v>
      </c>
    </row>
    <row r="28" spans="1:9" ht="21" customHeight="1">
      <c r="A28" s="27"/>
      <c r="B28" s="26" t="s">
        <v>55</v>
      </c>
      <c r="C28" s="26" t="s">
        <v>294</v>
      </c>
      <c r="D28" s="61">
        <v>999395682858</v>
      </c>
      <c r="E28" s="30" t="s">
        <v>56</v>
      </c>
      <c r="F28" s="8"/>
      <c r="G28" s="8"/>
      <c r="H28" s="8"/>
      <c r="I28" s="9">
        <f t="shared" si="0"/>
        <v>0</v>
      </c>
    </row>
    <row r="29" spans="1:9" ht="21" customHeight="1">
      <c r="A29" s="27"/>
      <c r="B29" s="26" t="s">
        <v>57</v>
      </c>
      <c r="C29" s="26" t="s">
        <v>295</v>
      </c>
      <c r="D29" s="12">
        <v>512095448</v>
      </c>
      <c r="E29" s="30" t="s">
        <v>58</v>
      </c>
      <c r="F29" s="8"/>
      <c r="G29" s="8"/>
      <c r="H29" s="8"/>
      <c r="I29" s="9">
        <f t="shared" si="0"/>
        <v>0</v>
      </c>
    </row>
    <row r="30" spans="1:9" ht="21" customHeight="1">
      <c r="A30" s="27"/>
      <c r="B30" s="26" t="s">
        <v>59</v>
      </c>
      <c r="C30" s="26" t="s">
        <v>296</v>
      </c>
      <c r="D30" s="61">
        <v>999395695033</v>
      </c>
      <c r="E30" s="30" t="s">
        <v>60</v>
      </c>
      <c r="F30" s="8">
        <v>419.11</v>
      </c>
      <c r="G30" s="8">
        <v>12.44</v>
      </c>
      <c r="H30" s="8">
        <v>0.31</v>
      </c>
      <c r="I30" s="9">
        <f t="shared" si="0"/>
        <v>431.86</v>
      </c>
    </row>
    <row r="31" spans="1:9" ht="21" customHeight="1">
      <c r="A31" s="27"/>
      <c r="B31" s="26" t="s">
        <v>61</v>
      </c>
      <c r="C31" s="26" t="s">
        <v>296</v>
      </c>
      <c r="D31" s="61">
        <v>999395696742</v>
      </c>
      <c r="E31" s="30" t="s">
        <v>62</v>
      </c>
      <c r="F31" s="8">
        <v>699.195</v>
      </c>
      <c r="G31" s="8">
        <v>20.845</v>
      </c>
      <c r="H31" s="8">
        <v>0.31</v>
      </c>
      <c r="I31" s="9">
        <f t="shared" si="0"/>
        <v>720.35</v>
      </c>
    </row>
    <row r="32" spans="1:9" ht="21" customHeight="1">
      <c r="A32" s="27"/>
      <c r="B32" s="26" t="s">
        <v>63</v>
      </c>
      <c r="C32" s="26" t="s">
        <v>308</v>
      </c>
      <c r="D32" s="61">
        <v>999395697615</v>
      </c>
      <c r="E32" s="30" t="s">
        <v>64</v>
      </c>
      <c r="F32" s="8">
        <f>884.12/2</f>
        <v>442.06</v>
      </c>
      <c r="G32" s="8">
        <f>26.18/2</f>
        <v>13.09</v>
      </c>
      <c r="H32" s="8">
        <f>0.8/2</f>
        <v>0.4</v>
      </c>
      <c r="I32" s="9">
        <f t="shared" si="0"/>
        <v>455.54999999999995</v>
      </c>
    </row>
    <row r="33" spans="1:9" ht="21" customHeight="1">
      <c r="A33" s="27"/>
      <c r="B33" s="26" t="s">
        <v>65</v>
      </c>
      <c r="C33" s="26" t="s">
        <v>297</v>
      </c>
      <c r="D33" s="61">
        <v>999395698321</v>
      </c>
      <c r="E33" s="30" t="s">
        <v>66</v>
      </c>
      <c r="F33" s="8">
        <f>892.01/2</f>
        <v>446.005</v>
      </c>
      <c r="G33" s="8">
        <f>26.41/2</f>
        <v>13.205</v>
      </c>
      <c r="H33" s="8">
        <f>0.81/2</f>
        <v>0.405</v>
      </c>
      <c r="I33" s="9">
        <f t="shared" si="0"/>
        <v>459.61499999999995</v>
      </c>
    </row>
    <row r="34" spans="1:9" ht="21" customHeight="1">
      <c r="A34" s="27"/>
      <c r="B34" s="26" t="s">
        <v>67</v>
      </c>
      <c r="C34" s="26" t="s">
        <v>309</v>
      </c>
      <c r="D34" s="62">
        <v>999395698661</v>
      </c>
      <c r="E34" s="31" t="s">
        <v>68</v>
      </c>
      <c r="F34" s="18">
        <f>433.22/2</f>
        <v>216.61</v>
      </c>
      <c r="G34" s="18">
        <f>12.65/2</f>
        <v>6.325</v>
      </c>
      <c r="H34" s="18">
        <f>0.81/2</f>
        <v>0.405</v>
      </c>
      <c r="I34" s="9">
        <f t="shared" si="0"/>
        <v>223.34</v>
      </c>
    </row>
    <row r="35" spans="1:9" ht="21" customHeight="1">
      <c r="A35" s="27"/>
      <c r="B35" s="26" t="s">
        <v>69</v>
      </c>
      <c r="C35" s="26"/>
      <c r="D35" s="61">
        <v>999395699042</v>
      </c>
      <c r="E35" s="30" t="s">
        <v>70</v>
      </c>
      <c r="F35" s="8">
        <v>651.83</v>
      </c>
      <c r="G35" s="8">
        <v>19.39</v>
      </c>
      <c r="H35" s="8">
        <v>0.39</v>
      </c>
      <c r="I35" s="9">
        <f t="shared" si="0"/>
        <v>671.61</v>
      </c>
    </row>
    <row r="36" spans="1:12" s="20" customFormat="1" ht="21" customHeight="1">
      <c r="A36" s="27"/>
      <c r="B36" s="26" t="s">
        <v>71</v>
      </c>
      <c r="C36" s="93"/>
      <c r="D36" s="61">
        <v>999395699192</v>
      </c>
      <c r="E36" s="30" t="s">
        <v>72</v>
      </c>
      <c r="F36" s="18">
        <f>444.63/2</f>
        <v>222.315</v>
      </c>
      <c r="G36" s="18">
        <f>12.99/2</f>
        <v>6.495</v>
      </c>
      <c r="H36" s="18">
        <f>0.81/2</f>
        <v>0.405</v>
      </c>
      <c r="I36" s="87">
        <f t="shared" si="0"/>
        <v>229.215</v>
      </c>
      <c r="J36" s="19"/>
      <c r="K36" s="19"/>
      <c r="L36" s="19"/>
    </row>
    <row r="37" spans="1:12" ht="21" customHeight="1">
      <c r="A37" s="27"/>
      <c r="B37" s="26" t="s">
        <v>73</v>
      </c>
      <c r="C37" s="93"/>
      <c r="D37" s="61">
        <v>999395699382</v>
      </c>
      <c r="E37" s="30" t="s">
        <v>74</v>
      </c>
      <c r="F37" s="8">
        <f>508.31/2</f>
        <v>254.155</v>
      </c>
      <c r="G37" s="8">
        <f>14.9/2</f>
        <v>7.45</v>
      </c>
      <c r="H37" s="8">
        <f>0.81/2</f>
        <v>0.405</v>
      </c>
      <c r="I37" s="9">
        <f t="shared" si="0"/>
        <v>262.01</v>
      </c>
      <c r="J37" s="19"/>
      <c r="K37" s="19"/>
      <c r="L37" s="19"/>
    </row>
    <row r="38" spans="1:12" ht="21" customHeight="1">
      <c r="A38" s="27"/>
      <c r="B38" s="26" t="s">
        <v>75</v>
      </c>
      <c r="C38" s="26" t="s">
        <v>298</v>
      </c>
      <c r="D38" s="61">
        <v>999395699631</v>
      </c>
      <c r="E38" s="30" t="s">
        <v>76</v>
      </c>
      <c r="F38" s="8">
        <f>157.28/2</f>
        <v>78.64</v>
      </c>
      <c r="G38" s="8">
        <f>4.36/2</f>
        <v>2.18</v>
      </c>
      <c r="H38" s="8">
        <f>0.84/2</f>
        <v>0.42</v>
      </c>
      <c r="I38" s="9">
        <f t="shared" si="0"/>
        <v>81.24000000000001</v>
      </c>
      <c r="J38" s="19"/>
      <c r="K38" s="19"/>
      <c r="L38" s="19"/>
    </row>
    <row r="39" spans="1:12" ht="21" customHeight="1">
      <c r="A39" s="27"/>
      <c r="B39" s="26" t="s">
        <v>77</v>
      </c>
      <c r="C39" s="93"/>
      <c r="D39" s="61">
        <v>999395699855</v>
      </c>
      <c r="E39" s="30" t="s">
        <v>78</v>
      </c>
      <c r="F39" s="8">
        <f>353.22/2</f>
        <v>176.61</v>
      </c>
      <c r="G39" s="8">
        <f>10.25/2</f>
        <v>5.125</v>
      </c>
      <c r="H39" s="8">
        <f>0.8/2</f>
        <v>0.4</v>
      </c>
      <c r="I39" s="9">
        <f t="shared" si="0"/>
        <v>182.13500000000002</v>
      </c>
      <c r="J39" s="19"/>
      <c r="K39" s="19"/>
      <c r="L39" s="19"/>
    </row>
    <row r="40" spans="1:12" ht="21" customHeight="1">
      <c r="A40" s="27"/>
      <c r="B40" s="26" t="s">
        <v>79</v>
      </c>
      <c r="C40" s="26" t="s">
        <v>299</v>
      </c>
      <c r="D40" s="61">
        <v>999395699914</v>
      </c>
      <c r="E40" s="30" t="s">
        <v>80</v>
      </c>
      <c r="F40" s="8">
        <f>661.03/2</f>
        <v>330.515</v>
      </c>
      <c r="G40" s="8">
        <f>19.51/2</f>
        <v>9.755</v>
      </c>
      <c r="H40" s="8">
        <f>0.75/2</f>
        <v>0.375</v>
      </c>
      <c r="I40" s="9">
        <f t="shared" si="0"/>
        <v>340.645</v>
      </c>
      <c r="J40" s="19"/>
      <c r="K40" s="19"/>
      <c r="L40" s="19"/>
    </row>
    <row r="41" spans="1:12" ht="21" customHeight="1">
      <c r="A41" s="27"/>
      <c r="B41" s="26" t="s">
        <v>81</v>
      </c>
      <c r="C41" s="26" t="s">
        <v>329</v>
      </c>
      <c r="D41" s="61">
        <v>999395720675</v>
      </c>
      <c r="E41" s="30" t="s">
        <v>82</v>
      </c>
      <c r="F41" s="8">
        <f>1346.31/2</f>
        <v>673.155</v>
      </c>
      <c r="G41" s="8">
        <f>40.05/2</f>
        <v>20.025</v>
      </c>
      <c r="H41" s="8">
        <f>0.79/2</f>
        <v>0.395</v>
      </c>
      <c r="I41" s="9">
        <f t="shared" si="0"/>
        <v>693.5749999999999</v>
      </c>
      <c r="J41" s="19"/>
      <c r="K41" s="19"/>
      <c r="L41" s="19"/>
    </row>
    <row r="42" spans="1:12" ht="21" customHeight="1">
      <c r="A42" s="27"/>
      <c r="B42" s="26" t="s">
        <v>83</v>
      </c>
      <c r="C42" s="26" t="s">
        <v>300</v>
      </c>
      <c r="D42" s="61">
        <v>999395721493</v>
      </c>
      <c r="E42" s="30" t="s">
        <v>84</v>
      </c>
      <c r="F42" s="8">
        <f>809.73/2</f>
        <v>404.865</v>
      </c>
      <c r="G42" s="8">
        <f>23.93/2</f>
        <v>11.965</v>
      </c>
      <c r="H42" s="8">
        <f>0.84/2</f>
        <v>0.42</v>
      </c>
      <c r="I42" s="9">
        <f t="shared" si="0"/>
        <v>417.25</v>
      </c>
      <c r="J42" s="19"/>
      <c r="K42" s="19"/>
      <c r="L42" s="19"/>
    </row>
    <row r="43" spans="1:12" ht="21" customHeight="1">
      <c r="A43" s="27"/>
      <c r="B43" s="26" t="s">
        <v>85</v>
      </c>
      <c r="C43" s="26"/>
      <c r="D43" s="61">
        <v>999395728957</v>
      </c>
      <c r="E43" s="30" t="s">
        <v>86</v>
      </c>
      <c r="F43" s="8">
        <f>193.28/2</f>
        <v>96.64</v>
      </c>
      <c r="G43" s="8">
        <f>5.46/2</f>
        <v>2.73</v>
      </c>
      <c r="H43" s="8">
        <f>0.79/2</f>
        <v>0.395</v>
      </c>
      <c r="I43" s="9">
        <f t="shared" si="0"/>
        <v>99.765</v>
      </c>
      <c r="J43" s="19"/>
      <c r="K43" s="19"/>
      <c r="L43" s="19"/>
    </row>
    <row r="44" spans="1:12" ht="21" customHeight="1">
      <c r="A44" s="27"/>
      <c r="B44" s="26" t="s">
        <v>87</v>
      </c>
      <c r="C44" s="26" t="s">
        <v>330</v>
      </c>
      <c r="D44" s="61">
        <v>999395729357</v>
      </c>
      <c r="E44" s="30" t="s">
        <v>88</v>
      </c>
      <c r="F44" s="8">
        <f>332.21/2</f>
        <v>166.105</v>
      </c>
      <c r="G44" s="8">
        <f>9.61/2</f>
        <v>4.805</v>
      </c>
      <c r="H44" s="8">
        <f>0.83/2</f>
        <v>0.415</v>
      </c>
      <c r="I44" s="9">
        <f t="shared" si="0"/>
        <v>171.325</v>
      </c>
      <c r="J44" s="19"/>
      <c r="K44" s="19"/>
      <c r="L44" s="19"/>
    </row>
    <row r="45" spans="1:12" ht="21" customHeight="1">
      <c r="A45" s="27"/>
      <c r="B45" s="26" t="s">
        <v>89</v>
      </c>
      <c r="C45" s="93"/>
      <c r="D45" s="61">
        <v>999395729815</v>
      </c>
      <c r="E45" s="30" t="s">
        <v>90</v>
      </c>
      <c r="F45" s="8">
        <f>258.69/2</f>
        <v>129.345</v>
      </c>
      <c r="G45" s="8">
        <f>7.4/2</f>
        <v>3.7</v>
      </c>
      <c r="H45" s="8">
        <f>0.84/2</f>
        <v>0.42</v>
      </c>
      <c r="I45" s="9">
        <f t="shared" si="0"/>
        <v>133.46499999999997</v>
      </c>
      <c r="J45" s="19"/>
      <c r="K45" s="19"/>
      <c r="L45" s="19"/>
    </row>
    <row r="46" spans="1:12" ht="21" customHeight="1">
      <c r="A46" s="27"/>
      <c r="B46" s="26" t="s">
        <v>94</v>
      </c>
      <c r="C46" s="26" t="s">
        <v>331</v>
      </c>
      <c r="D46" s="61">
        <v>999395730546</v>
      </c>
      <c r="E46" s="30" t="s">
        <v>91</v>
      </c>
      <c r="F46" s="8">
        <f>101.63/2</f>
        <v>50.815</v>
      </c>
      <c r="G46" s="8">
        <f>2.71/2</f>
        <v>1.355</v>
      </c>
      <c r="H46" s="8">
        <f>0.8/2</f>
        <v>0.4</v>
      </c>
      <c r="I46" s="9">
        <f t="shared" si="0"/>
        <v>52.56999999999999</v>
      </c>
      <c r="J46" s="19"/>
      <c r="K46" s="19"/>
      <c r="L46" s="19"/>
    </row>
    <row r="47" spans="1:12" ht="21" customHeight="1">
      <c r="A47" s="27"/>
      <c r="B47" s="26" t="s">
        <v>92</v>
      </c>
      <c r="C47" s="26" t="s">
        <v>319</v>
      </c>
      <c r="D47" s="61">
        <v>999395731005</v>
      </c>
      <c r="E47" s="32" t="s">
        <v>93</v>
      </c>
      <c r="F47" s="8">
        <f>267.81/2</f>
        <v>133.905</v>
      </c>
      <c r="G47" s="8">
        <f>7.7/2</f>
        <v>3.85</v>
      </c>
      <c r="H47" s="8">
        <f>0.79/2</f>
        <v>0.395</v>
      </c>
      <c r="I47" s="9">
        <f t="shared" si="0"/>
        <v>138.15</v>
      </c>
      <c r="J47" s="19"/>
      <c r="K47" s="19"/>
      <c r="L47" s="19"/>
    </row>
    <row r="48" spans="1:12" ht="21" customHeight="1">
      <c r="A48" s="27"/>
      <c r="B48" s="26" t="s">
        <v>95</v>
      </c>
      <c r="C48" s="93"/>
      <c r="D48" s="61">
        <v>999395731797</v>
      </c>
      <c r="E48" s="30" t="s">
        <v>96</v>
      </c>
      <c r="F48" s="8">
        <f>514.64/2</f>
        <v>257.32</v>
      </c>
      <c r="G48" s="8">
        <f>15.1/2</f>
        <v>7.55</v>
      </c>
      <c r="H48" s="8">
        <f>0.8/2</f>
        <v>0.4</v>
      </c>
      <c r="I48" s="9">
        <f t="shared" si="0"/>
        <v>265.27</v>
      </c>
      <c r="J48" s="19"/>
      <c r="K48" s="19"/>
      <c r="L48" s="19"/>
    </row>
    <row r="49" spans="1:12" ht="21" customHeight="1">
      <c r="A49" s="27"/>
      <c r="B49" s="26" t="s">
        <v>97</v>
      </c>
      <c r="C49" s="26"/>
      <c r="D49" s="61">
        <v>999395850272</v>
      </c>
      <c r="E49" s="30" t="s">
        <v>98</v>
      </c>
      <c r="F49" s="8">
        <v>1080.39</v>
      </c>
      <c r="G49" s="8">
        <v>31.77</v>
      </c>
      <c r="H49" s="8">
        <v>1.5</v>
      </c>
      <c r="I49" s="9">
        <f t="shared" si="0"/>
        <v>1113.66</v>
      </c>
      <c r="J49" s="19"/>
      <c r="K49" s="19"/>
      <c r="L49" s="19"/>
    </row>
    <row r="50" spans="1:12" ht="21" customHeight="1">
      <c r="A50" s="27"/>
      <c r="B50" s="26" t="s">
        <v>99</v>
      </c>
      <c r="C50" s="93"/>
      <c r="D50" s="61">
        <v>999395869847</v>
      </c>
      <c r="E50" s="30" t="s">
        <v>100</v>
      </c>
      <c r="F50" s="8">
        <v>611.79</v>
      </c>
      <c r="G50" s="8">
        <v>18.08</v>
      </c>
      <c r="H50" s="8">
        <v>0.64</v>
      </c>
      <c r="I50" s="9">
        <f t="shared" si="0"/>
        <v>630.51</v>
      </c>
      <c r="J50" s="19"/>
      <c r="K50" s="19"/>
      <c r="L50" s="19"/>
    </row>
    <row r="51" spans="1:12" ht="21" customHeight="1">
      <c r="A51" s="27"/>
      <c r="B51" s="26" t="s">
        <v>101</v>
      </c>
      <c r="C51" s="26" t="s">
        <v>371</v>
      </c>
      <c r="D51" s="12">
        <v>83007836944</v>
      </c>
      <c r="E51" s="30" t="s">
        <v>102</v>
      </c>
      <c r="F51" s="8">
        <f>475.52/2</f>
        <v>237.76</v>
      </c>
      <c r="G51" s="8">
        <f>7.06/2</f>
        <v>3.53</v>
      </c>
      <c r="H51" s="8">
        <f>16.82/2</f>
        <v>8.41</v>
      </c>
      <c r="I51" s="9">
        <f t="shared" si="0"/>
        <v>249.7</v>
      </c>
      <c r="J51" s="19"/>
      <c r="K51" s="19"/>
      <c r="L51" s="19"/>
    </row>
    <row r="52" spans="1:12" ht="21" customHeight="1">
      <c r="A52" s="27"/>
      <c r="B52" s="26" t="s">
        <v>103</v>
      </c>
      <c r="C52" s="26" t="s">
        <v>286</v>
      </c>
      <c r="D52" s="61">
        <v>999418107083</v>
      </c>
      <c r="E52" s="30" t="s">
        <v>104</v>
      </c>
      <c r="F52" s="8">
        <f>2148.69/2</f>
        <v>1074.345</v>
      </c>
      <c r="G52" s="8">
        <f>64.12/2</f>
        <v>32.06</v>
      </c>
      <c r="H52" s="8">
        <f>0.79/2</f>
        <v>0.395</v>
      </c>
      <c r="I52" s="9">
        <f t="shared" si="0"/>
        <v>1106.8</v>
      </c>
      <c r="J52" s="19"/>
      <c r="K52" s="19"/>
      <c r="L52" s="19"/>
    </row>
    <row r="53" spans="1:12" ht="21" customHeight="1">
      <c r="A53" s="27"/>
      <c r="B53" s="26" t="s">
        <v>105</v>
      </c>
      <c r="C53" s="26" t="s">
        <v>332</v>
      </c>
      <c r="D53" s="61">
        <v>999418108530</v>
      </c>
      <c r="E53" s="30" t="s">
        <v>106</v>
      </c>
      <c r="F53" s="8">
        <v>349.03</v>
      </c>
      <c r="G53" s="8">
        <v>9.83</v>
      </c>
      <c r="H53" s="8">
        <v>1.5</v>
      </c>
      <c r="I53" s="9">
        <f t="shared" si="0"/>
        <v>360.35999999999996</v>
      </c>
      <c r="J53" s="19"/>
      <c r="K53" s="19"/>
      <c r="L53" s="19"/>
    </row>
    <row r="54" spans="1:12" ht="21" customHeight="1">
      <c r="A54" s="27"/>
      <c r="B54" s="26" t="s">
        <v>107</v>
      </c>
      <c r="C54" s="26" t="s">
        <v>302</v>
      </c>
      <c r="D54" s="61">
        <v>999444028261</v>
      </c>
      <c r="E54" s="30" t="s">
        <v>108</v>
      </c>
      <c r="F54" s="8">
        <v>136.06</v>
      </c>
      <c r="G54" s="8">
        <v>3.44</v>
      </c>
      <c r="H54" s="8">
        <v>1.5</v>
      </c>
      <c r="I54" s="9">
        <f t="shared" si="0"/>
        <v>141</v>
      </c>
      <c r="J54" s="19"/>
      <c r="K54" s="19"/>
      <c r="L54" s="19"/>
    </row>
    <row r="55" spans="1:12" ht="21" customHeight="1">
      <c r="A55" s="27"/>
      <c r="B55" s="26" t="s">
        <v>109</v>
      </c>
      <c r="C55" s="26" t="s">
        <v>313</v>
      </c>
      <c r="D55" s="12">
        <v>83000769293</v>
      </c>
      <c r="E55" s="30" t="s">
        <v>110</v>
      </c>
      <c r="F55" s="8">
        <v>374.65</v>
      </c>
      <c r="G55" s="8">
        <v>10.58</v>
      </c>
      <c r="H55" s="8">
        <v>1.54</v>
      </c>
      <c r="I55" s="9">
        <f t="shared" si="0"/>
        <v>386.77</v>
      </c>
      <c r="J55" s="19"/>
      <c r="K55" s="19"/>
      <c r="L55" s="19"/>
    </row>
    <row r="56" spans="1:9" s="19" customFormat="1" ht="21" customHeight="1">
      <c r="A56" s="27"/>
      <c r="B56" s="35" t="s">
        <v>125</v>
      </c>
      <c r="C56" s="94"/>
      <c r="D56" s="36">
        <v>60006203645</v>
      </c>
      <c r="E56" s="37" t="s">
        <v>126</v>
      </c>
      <c r="F56" s="8">
        <v>27.57</v>
      </c>
      <c r="G56" s="8">
        <v>0.8</v>
      </c>
      <c r="H56" s="8">
        <v>0.07</v>
      </c>
      <c r="I56" s="9">
        <f t="shared" si="0"/>
        <v>28.44</v>
      </c>
    </row>
    <row r="57" spans="1:12" s="29" customFormat="1" ht="21" customHeight="1">
      <c r="A57" s="27"/>
      <c r="B57" s="26" t="s">
        <v>127</v>
      </c>
      <c r="C57" s="93"/>
      <c r="D57" s="12">
        <v>60007966411</v>
      </c>
      <c r="E57" s="30" t="s">
        <v>128</v>
      </c>
      <c r="F57" s="8">
        <v>73.16</v>
      </c>
      <c r="G57" s="8">
        <v>2.17</v>
      </c>
      <c r="H57" s="8">
        <v>0.07</v>
      </c>
      <c r="I57" s="9">
        <f t="shared" si="0"/>
        <v>75.39999999999999</v>
      </c>
      <c r="J57" s="19"/>
      <c r="K57" s="19"/>
      <c r="L57" s="19"/>
    </row>
    <row r="58" spans="1:12" s="29" customFormat="1" ht="21" customHeight="1">
      <c r="A58" s="27"/>
      <c r="B58" s="26" t="s">
        <v>129</v>
      </c>
      <c r="C58" s="26" t="s">
        <v>289</v>
      </c>
      <c r="D58" s="12">
        <v>60006643135</v>
      </c>
      <c r="E58" s="30" t="s">
        <v>130</v>
      </c>
      <c r="F58" s="8">
        <f>106.45/2</f>
        <v>53.225</v>
      </c>
      <c r="G58" s="8">
        <f>3.16/2</f>
        <v>1.58</v>
      </c>
      <c r="H58" s="8">
        <f>0.08/2</f>
        <v>0.04</v>
      </c>
      <c r="I58" s="9">
        <f t="shared" si="0"/>
        <v>54.845</v>
      </c>
      <c r="J58" s="19"/>
      <c r="K58" s="19"/>
      <c r="L58" s="19"/>
    </row>
    <row r="59" spans="1:12" ht="21" customHeight="1">
      <c r="A59" s="27"/>
      <c r="B59" s="26" t="s">
        <v>131</v>
      </c>
      <c r="C59" s="93"/>
      <c r="D59" s="12">
        <v>60007843244</v>
      </c>
      <c r="E59" s="30" t="s">
        <v>132</v>
      </c>
      <c r="F59" s="8">
        <v>85.65</v>
      </c>
      <c r="G59" s="8">
        <v>2.55</v>
      </c>
      <c r="H59" s="8">
        <v>0.05</v>
      </c>
      <c r="I59" s="9">
        <f aca="true" t="shared" si="1" ref="I59:I119">SUM(F59:H59)</f>
        <v>88.25</v>
      </c>
      <c r="J59" s="19"/>
      <c r="K59" s="19"/>
      <c r="L59" s="19"/>
    </row>
    <row r="60" spans="1:12" ht="21" customHeight="1">
      <c r="A60" s="27"/>
      <c r="B60" s="26" t="s">
        <v>133</v>
      </c>
      <c r="C60" s="26" t="s">
        <v>322</v>
      </c>
      <c r="D60" s="12">
        <v>60007843069</v>
      </c>
      <c r="E60" s="30" t="s">
        <v>134</v>
      </c>
      <c r="F60" s="8">
        <f>136.72/2</f>
        <v>68.36</v>
      </c>
      <c r="G60" s="8">
        <f>4.01/2</f>
        <v>2.005</v>
      </c>
      <c r="H60" s="8">
        <f>0.22/2</f>
        <v>0.11</v>
      </c>
      <c r="I60" s="9">
        <f t="shared" si="1"/>
        <v>70.475</v>
      </c>
      <c r="J60" s="19"/>
      <c r="K60" s="19"/>
      <c r="L60" s="19"/>
    </row>
    <row r="61" spans="1:12" ht="21" customHeight="1">
      <c r="A61" s="27"/>
      <c r="B61" s="26" t="s">
        <v>135</v>
      </c>
      <c r="C61" s="26" t="s">
        <v>353</v>
      </c>
      <c r="D61" s="12">
        <v>60007843073</v>
      </c>
      <c r="E61" s="30" t="s">
        <v>136</v>
      </c>
      <c r="F61" s="8">
        <f>133.63/2</f>
        <v>66.815</v>
      </c>
      <c r="G61" s="8">
        <f>3.98/2</f>
        <v>1.99</v>
      </c>
      <c r="H61" s="8">
        <f>0.08/2</f>
        <v>0.04</v>
      </c>
      <c r="I61" s="9">
        <f t="shared" si="1"/>
        <v>68.845</v>
      </c>
      <c r="J61" s="19"/>
      <c r="K61" s="19"/>
      <c r="L61" s="19"/>
    </row>
    <row r="62" spans="1:12" ht="21" customHeight="1">
      <c r="A62" s="27"/>
      <c r="B62" s="26" t="s">
        <v>137</v>
      </c>
      <c r="C62" s="93"/>
      <c r="D62" s="12">
        <v>60007843356</v>
      </c>
      <c r="E62" s="30" t="s">
        <v>138</v>
      </c>
      <c r="F62" s="8">
        <f>52.65/2</f>
        <v>26.325</v>
      </c>
      <c r="G62" s="8">
        <f>1.54/2</f>
        <v>0.77</v>
      </c>
      <c r="H62" s="8">
        <f>0.08/2</f>
        <v>0.04</v>
      </c>
      <c r="I62" s="9">
        <f t="shared" si="1"/>
        <v>27.134999999999998</v>
      </c>
      <c r="J62" s="19"/>
      <c r="K62" s="19"/>
      <c r="L62" s="19"/>
    </row>
    <row r="63" spans="1:12" ht="21" customHeight="1">
      <c r="A63" s="27"/>
      <c r="B63" s="26" t="s">
        <v>139</v>
      </c>
      <c r="C63" s="93"/>
      <c r="D63" s="12">
        <v>60007847274</v>
      </c>
      <c r="E63" s="30" t="s">
        <v>140</v>
      </c>
      <c r="F63" s="8">
        <f>69.92/2</f>
        <v>34.96</v>
      </c>
      <c r="G63" s="8">
        <f>2/2</f>
        <v>1</v>
      </c>
      <c r="H63" s="8">
        <f>0.22/2</f>
        <v>0.11</v>
      </c>
      <c r="I63" s="9">
        <f t="shared" si="1"/>
        <v>36.07</v>
      </c>
      <c r="J63" s="19"/>
      <c r="K63" s="19"/>
      <c r="L63" s="19"/>
    </row>
    <row r="64" spans="1:12" ht="21" customHeight="1">
      <c r="A64" s="27"/>
      <c r="B64" s="26" t="s">
        <v>141</v>
      </c>
      <c r="C64" s="93"/>
      <c r="D64" s="12">
        <v>60007847482</v>
      </c>
      <c r="E64" s="30" t="s">
        <v>142</v>
      </c>
      <c r="F64" s="8">
        <v>61.5</v>
      </c>
      <c r="G64" s="8">
        <v>1.82</v>
      </c>
      <c r="H64" s="8">
        <v>0.05</v>
      </c>
      <c r="I64" s="9">
        <f t="shared" si="1"/>
        <v>63.37</v>
      </c>
      <c r="J64" s="19"/>
      <c r="K64" s="19"/>
      <c r="L64" s="19"/>
    </row>
    <row r="65" spans="1:12" ht="21" customHeight="1">
      <c r="A65" s="27"/>
      <c r="B65" s="26" t="s">
        <v>143</v>
      </c>
      <c r="C65" s="26" t="s">
        <v>323</v>
      </c>
      <c r="D65" s="12">
        <v>60007858040</v>
      </c>
      <c r="E65" s="78" t="s">
        <v>144</v>
      </c>
      <c r="F65" s="8">
        <v>27.15</v>
      </c>
      <c r="G65" s="8">
        <v>0.77</v>
      </c>
      <c r="H65" s="8">
        <v>0.11</v>
      </c>
      <c r="I65" s="9">
        <f t="shared" si="1"/>
        <v>28.029999999999998</v>
      </c>
      <c r="J65" s="19"/>
      <c r="K65" s="19"/>
      <c r="L65" s="19"/>
    </row>
    <row r="66" spans="1:12" ht="21" customHeight="1">
      <c r="A66" s="27"/>
      <c r="B66" s="43" t="s">
        <v>145</v>
      </c>
      <c r="C66" s="43" t="s">
        <v>358</v>
      </c>
      <c r="D66" s="44">
        <v>60007889355</v>
      </c>
      <c r="E66" s="37" t="s">
        <v>146</v>
      </c>
      <c r="F66" s="18">
        <f>59.08/2</f>
        <v>29.54</v>
      </c>
      <c r="G66" s="18">
        <f>1.74/2</f>
        <v>0.87</v>
      </c>
      <c r="H66" s="18">
        <f>0.08/2</f>
        <v>0.04</v>
      </c>
      <c r="I66" s="9">
        <f t="shared" si="1"/>
        <v>30.45</v>
      </c>
      <c r="J66" s="19"/>
      <c r="K66" s="19"/>
      <c r="L66" s="19"/>
    </row>
    <row r="67" spans="1:12" ht="21" customHeight="1">
      <c r="A67" s="39"/>
      <c r="B67" s="41" t="s">
        <v>147</v>
      </c>
      <c r="C67" s="41" t="s">
        <v>311</v>
      </c>
      <c r="D67" s="40">
        <v>60007899611</v>
      </c>
      <c r="E67" s="42" t="s">
        <v>148</v>
      </c>
      <c r="F67" s="18">
        <v>138.19</v>
      </c>
      <c r="G67" s="18">
        <v>4.1</v>
      </c>
      <c r="H67" s="18">
        <v>0.11</v>
      </c>
      <c r="I67" s="9">
        <f t="shared" si="1"/>
        <v>142.4</v>
      </c>
      <c r="J67" s="19"/>
      <c r="K67" s="19"/>
      <c r="L67" s="19"/>
    </row>
    <row r="68" spans="1:12" s="29" customFormat="1" ht="21" customHeight="1">
      <c r="A68" s="27"/>
      <c r="B68" s="26" t="s">
        <v>149</v>
      </c>
      <c r="C68" s="93"/>
      <c r="D68" s="12">
        <v>60008073286</v>
      </c>
      <c r="E68" s="30" t="s">
        <v>150</v>
      </c>
      <c r="F68" s="8">
        <f>24.45/2</f>
        <v>12.225</v>
      </c>
      <c r="G68" s="8">
        <f>0.64/2</f>
        <v>0.32</v>
      </c>
      <c r="H68" s="8">
        <f>0.21/2</f>
        <v>0.105</v>
      </c>
      <c r="I68" s="9">
        <f t="shared" si="1"/>
        <v>12.65</v>
      </c>
      <c r="J68" s="19"/>
      <c r="K68" s="19"/>
      <c r="L68" s="19"/>
    </row>
    <row r="69" spans="1:12" s="20" customFormat="1" ht="21" customHeight="1">
      <c r="A69" s="27"/>
      <c r="B69" s="26" t="s">
        <v>151</v>
      </c>
      <c r="C69" s="26"/>
      <c r="D69" s="12">
        <v>60008101006</v>
      </c>
      <c r="E69" s="30" t="s">
        <v>152</v>
      </c>
      <c r="F69" s="8">
        <v>29.94</v>
      </c>
      <c r="G69" s="8">
        <v>0.86</v>
      </c>
      <c r="H69" s="8">
        <v>0.09</v>
      </c>
      <c r="I69" s="9">
        <f t="shared" si="1"/>
        <v>30.89</v>
      </c>
      <c r="J69" s="19"/>
      <c r="K69" s="19"/>
      <c r="L69" s="19"/>
    </row>
    <row r="70" spans="1:12" s="20" customFormat="1" ht="21" customHeight="1">
      <c r="A70" s="27"/>
      <c r="B70" s="26" t="s">
        <v>153</v>
      </c>
      <c r="C70" s="26" t="s">
        <v>359</v>
      </c>
      <c r="D70" s="12">
        <v>60008115357</v>
      </c>
      <c r="E70" s="30" t="s">
        <v>154</v>
      </c>
      <c r="F70" s="8">
        <v>54.23</v>
      </c>
      <c r="G70" s="8">
        <v>1.6</v>
      </c>
      <c r="H70" s="8">
        <v>0.06</v>
      </c>
      <c r="I70" s="9">
        <f t="shared" si="1"/>
        <v>55.89</v>
      </c>
      <c r="J70" s="19"/>
      <c r="K70" s="19"/>
      <c r="L70" s="19"/>
    </row>
    <row r="71" spans="1:12" s="20" customFormat="1" ht="21" customHeight="1">
      <c r="A71" s="27"/>
      <c r="B71" s="26" t="s">
        <v>155</v>
      </c>
      <c r="C71" s="26" t="s">
        <v>312</v>
      </c>
      <c r="D71" s="12">
        <v>60008450632</v>
      </c>
      <c r="E71" s="30" t="s">
        <v>156</v>
      </c>
      <c r="F71" s="8">
        <v>19.12</v>
      </c>
      <c r="G71" s="8">
        <v>0.55</v>
      </c>
      <c r="H71" s="8">
        <v>0.06</v>
      </c>
      <c r="I71" s="9">
        <f t="shared" si="1"/>
        <v>19.73</v>
      </c>
      <c r="J71" s="19"/>
      <c r="K71" s="19"/>
      <c r="L71" s="19"/>
    </row>
    <row r="72" spans="1:9" ht="21" customHeight="1">
      <c r="A72" s="27"/>
      <c r="B72" s="26" t="s">
        <v>157</v>
      </c>
      <c r="C72" s="26" t="s">
        <v>360</v>
      </c>
      <c r="D72" s="12">
        <v>60008427213</v>
      </c>
      <c r="E72" s="30" t="s">
        <v>158</v>
      </c>
      <c r="F72" s="8">
        <v>41.63</v>
      </c>
      <c r="G72" s="8">
        <v>1.22</v>
      </c>
      <c r="H72" s="8">
        <v>0.06</v>
      </c>
      <c r="I72" s="9">
        <f t="shared" si="1"/>
        <v>42.910000000000004</v>
      </c>
    </row>
    <row r="73" spans="1:9" ht="21" customHeight="1">
      <c r="A73" s="27"/>
      <c r="B73" s="26" t="s">
        <v>159</v>
      </c>
      <c r="C73" s="26" t="s">
        <v>361</v>
      </c>
      <c r="D73" s="12">
        <v>60008475541</v>
      </c>
      <c r="E73" s="30" t="s">
        <v>160</v>
      </c>
      <c r="F73" s="8">
        <f>173.48/2</f>
        <v>86.74</v>
      </c>
      <c r="G73" s="8">
        <f>5.17/2</f>
        <v>2.585</v>
      </c>
      <c r="H73" s="8">
        <f>0.08/2</f>
        <v>0.04</v>
      </c>
      <c r="I73" s="9">
        <f t="shared" si="1"/>
        <v>89.365</v>
      </c>
    </row>
    <row r="74" spans="1:9" ht="21" customHeight="1">
      <c r="A74" s="27"/>
      <c r="B74" s="26" t="s">
        <v>161</v>
      </c>
      <c r="C74" s="93"/>
      <c r="D74" s="12">
        <v>60008368817</v>
      </c>
      <c r="E74" s="30" t="s">
        <v>162</v>
      </c>
      <c r="F74" s="8">
        <v>33.79</v>
      </c>
      <c r="G74" s="8">
        <v>0.99</v>
      </c>
      <c r="H74" s="8">
        <v>0.06</v>
      </c>
      <c r="I74" s="9">
        <f t="shared" si="1"/>
        <v>34.84</v>
      </c>
    </row>
    <row r="75" spans="1:9" ht="21" customHeight="1">
      <c r="A75" s="27"/>
      <c r="B75" s="26" t="s">
        <v>163</v>
      </c>
      <c r="C75" s="26" t="s">
        <v>372</v>
      </c>
      <c r="D75" s="12">
        <v>60091069643</v>
      </c>
      <c r="E75" s="30" t="s">
        <v>164</v>
      </c>
      <c r="F75" s="8">
        <v>20.67</v>
      </c>
      <c r="G75" s="8">
        <v>0.6</v>
      </c>
      <c r="H75" s="8">
        <v>0.06</v>
      </c>
      <c r="I75" s="9">
        <f t="shared" si="1"/>
        <v>21.330000000000002</v>
      </c>
    </row>
    <row r="76" spans="1:9" ht="21" customHeight="1">
      <c r="A76" s="27"/>
      <c r="B76" s="26" t="s">
        <v>165</v>
      </c>
      <c r="C76" s="26" t="s">
        <v>363</v>
      </c>
      <c r="D76" s="12">
        <v>60089709450</v>
      </c>
      <c r="E76" s="30" t="s">
        <v>166</v>
      </c>
      <c r="F76" s="8">
        <v>29.89</v>
      </c>
      <c r="G76" s="8">
        <v>0.87</v>
      </c>
      <c r="H76" s="8">
        <v>0.05</v>
      </c>
      <c r="I76" s="9">
        <f t="shared" si="1"/>
        <v>30.810000000000002</v>
      </c>
    </row>
    <row r="77" spans="1:9" ht="21" customHeight="1">
      <c r="A77" s="27"/>
      <c r="B77" s="26" t="s">
        <v>167</v>
      </c>
      <c r="C77" s="26" t="s">
        <v>362</v>
      </c>
      <c r="D77" s="12">
        <v>60089553056</v>
      </c>
      <c r="E77" s="30" t="s">
        <v>168</v>
      </c>
      <c r="F77" s="8">
        <f>534.15/2</f>
        <v>267.075</v>
      </c>
      <c r="G77" s="8">
        <f>15.93/2</f>
        <v>7.965</v>
      </c>
      <c r="H77" s="8">
        <f>0.22/2</f>
        <v>0.11</v>
      </c>
      <c r="I77" s="9">
        <f t="shared" si="1"/>
        <v>275.15</v>
      </c>
    </row>
    <row r="78" spans="1:9" ht="21" customHeight="1">
      <c r="A78" s="27"/>
      <c r="B78" s="26" t="s">
        <v>169</v>
      </c>
      <c r="C78" s="26" t="s">
        <v>364</v>
      </c>
      <c r="D78" s="17">
        <v>60090692774</v>
      </c>
      <c r="E78" s="31" t="s">
        <v>170</v>
      </c>
      <c r="F78" s="18">
        <v>21.71</v>
      </c>
      <c r="G78" s="18">
        <v>0.63</v>
      </c>
      <c r="H78" s="18">
        <v>0.05</v>
      </c>
      <c r="I78" s="9">
        <f t="shared" si="1"/>
        <v>22.39</v>
      </c>
    </row>
    <row r="79" spans="1:9" ht="21" customHeight="1">
      <c r="A79" s="27"/>
      <c r="B79" s="26" t="s">
        <v>171</v>
      </c>
      <c r="C79" s="93"/>
      <c r="D79" s="12">
        <v>60006579681</v>
      </c>
      <c r="E79" s="30" t="s">
        <v>172</v>
      </c>
      <c r="F79" s="8">
        <v>24.88</v>
      </c>
      <c r="G79" s="8">
        <v>0.72</v>
      </c>
      <c r="H79" s="8">
        <v>0.07</v>
      </c>
      <c r="I79" s="9">
        <f t="shared" si="1"/>
        <v>25.669999999999998</v>
      </c>
    </row>
    <row r="80" spans="1:9" ht="21" customHeight="1">
      <c r="A80" s="27"/>
      <c r="B80" s="26" t="s">
        <v>173</v>
      </c>
      <c r="C80" s="26" t="s">
        <v>333</v>
      </c>
      <c r="D80" s="12">
        <v>60006586696</v>
      </c>
      <c r="E80" s="30" t="s">
        <v>174</v>
      </c>
      <c r="F80" s="8">
        <f>275.42/2</f>
        <v>137.71</v>
      </c>
      <c r="G80" s="8">
        <f>8.17/2</f>
        <v>4.085</v>
      </c>
      <c r="H80" s="8">
        <f>0.22/2</f>
        <v>0.11</v>
      </c>
      <c r="I80" s="9">
        <f t="shared" si="1"/>
        <v>141.90500000000003</v>
      </c>
    </row>
    <row r="81" spans="1:13" s="20" customFormat="1" ht="21" customHeight="1">
      <c r="A81" s="27"/>
      <c r="B81" s="26" t="s">
        <v>175</v>
      </c>
      <c r="C81" s="93"/>
      <c r="D81" s="17">
        <v>60006586704</v>
      </c>
      <c r="E81" s="31" t="s">
        <v>176</v>
      </c>
      <c r="F81" s="18">
        <f>28.26/2</f>
        <v>14.13</v>
      </c>
      <c r="G81" s="18">
        <f>0.81/2</f>
        <v>0.405</v>
      </c>
      <c r="H81" s="18">
        <f>0.08/2</f>
        <v>0.04</v>
      </c>
      <c r="I81" s="9">
        <f t="shared" si="1"/>
        <v>14.575</v>
      </c>
      <c r="J81" s="19"/>
      <c r="K81" s="19"/>
      <c r="L81" s="19"/>
      <c r="M81" s="19"/>
    </row>
    <row r="82" spans="1:13" s="20" customFormat="1" ht="21" customHeight="1">
      <c r="A82" s="27"/>
      <c r="B82" s="26" t="s">
        <v>177</v>
      </c>
      <c r="C82" s="26" t="s">
        <v>370</v>
      </c>
      <c r="D82" s="12">
        <v>60006587652</v>
      </c>
      <c r="E82" s="33" t="s">
        <v>178</v>
      </c>
      <c r="F82" s="15">
        <f>182.48/2</f>
        <v>91.24</v>
      </c>
      <c r="G82" s="15">
        <f>5.38/2</f>
        <v>2.69</v>
      </c>
      <c r="H82" s="15">
        <f>0.22/2</f>
        <v>0.11</v>
      </c>
      <c r="I82" s="9">
        <f t="shared" si="1"/>
        <v>94.03999999999999</v>
      </c>
      <c r="J82" s="19"/>
      <c r="K82" s="19"/>
      <c r="L82" s="19"/>
      <c r="M82" s="19"/>
    </row>
    <row r="83" spans="1:13" ht="21" customHeight="1">
      <c r="A83" s="27"/>
      <c r="B83" s="26" t="s">
        <v>179</v>
      </c>
      <c r="C83" s="26" t="s">
        <v>334</v>
      </c>
      <c r="D83" s="12">
        <v>60006587671</v>
      </c>
      <c r="E83" s="30" t="s">
        <v>180</v>
      </c>
      <c r="F83" s="8">
        <f>153.06/2</f>
        <v>76.53</v>
      </c>
      <c r="G83" s="8">
        <f>4.5/2</f>
        <v>2.25</v>
      </c>
      <c r="H83" s="8">
        <f>0.22/2</f>
        <v>0.11</v>
      </c>
      <c r="I83" s="9">
        <f t="shared" si="1"/>
        <v>78.89</v>
      </c>
      <c r="J83" s="19"/>
      <c r="K83" s="19"/>
      <c r="L83" s="19"/>
      <c r="M83" s="19"/>
    </row>
    <row r="84" spans="1:13" ht="21" customHeight="1">
      <c r="A84" s="27"/>
      <c r="B84" s="26" t="s">
        <v>181</v>
      </c>
      <c r="C84" s="26" t="s">
        <v>335</v>
      </c>
      <c r="D84" s="12">
        <v>60006593566</v>
      </c>
      <c r="E84" s="30" t="s">
        <v>182</v>
      </c>
      <c r="F84" s="8">
        <f>118.23/2</f>
        <v>59.115</v>
      </c>
      <c r="G84" s="8">
        <f>3.51/2</f>
        <v>1.755</v>
      </c>
      <c r="H84" s="8">
        <f>0.08/2</f>
        <v>0.04</v>
      </c>
      <c r="I84" s="9">
        <f t="shared" si="1"/>
        <v>60.910000000000004</v>
      </c>
      <c r="J84" s="19"/>
      <c r="K84" s="19"/>
      <c r="L84" s="19"/>
      <c r="M84" s="19"/>
    </row>
    <row r="85" spans="1:13" ht="21" customHeight="1">
      <c r="A85" s="27"/>
      <c r="B85" s="26" t="s">
        <v>183</v>
      </c>
      <c r="C85" s="26" t="s">
        <v>336</v>
      </c>
      <c r="D85" s="12">
        <v>60006601563</v>
      </c>
      <c r="E85" s="30" t="s">
        <v>184</v>
      </c>
      <c r="F85" s="8">
        <f>129.24/2</f>
        <v>64.62</v>
      </c>
      <c r="G85" s="8">
        <f>3.88/2</f>
        <v>1.94</v>
      </c>
      <c r="H85" s="8">
        <v>0</v>
      </c>
      <c r="I85" s="9">
        <f t="shared" si="1"/>
        <v>66.56</v>
      </c>
      <c r="J85" s="19"/>
      <c r="K85" s="19"/>
      <c r="L85" s="19"/>
      <c r="M85" s="19"/>
    </row>
    <row r="86" spans="1:13" s="20" customFormat="1" ht="21" customHeight="1">
      <c r="A86" s="27"/>
      <c r="B86" s="26" t="s">
        <v>185</v>
      </c>
      <c r="C86" s="26" t="s">
        <v>310</v>
      </c>
      <c r="D86" s="12">
        <v>60006630551</v>
      </c>
      <c r="E86" s="30" t="s">
        <v>186</v>
      </c>
      <c r="F86" s="8">
        <f>208.48/2</f>
        <v>104.24</v>
      </c>
      <c r="G86" s="8">
        <f>6.16/2</f>
        <v>3.08</v>
      </c>
      <c r="H86" s="8">
        <f>0.22/2</f>
        <v>0.11</v>
      </c>
      <c r="I86" s="9">
        <f t="shared" si="1"/>
        <v>107.42999999999999</v>
      </c>
      <c r="J86" s="19"/>
      <c r="K86" s="19"/>
      <c r="L86" s="19"/>
      <c r="M86" s="19"/>
    </row>
    <row r="87" spans="1:13" s="29" customFormat="1" ht="21" customHeight="1">
      <c r="A87" s="27"/>
      <c r="B87" s="26" t="s">
        <v>187</v>
      </c>
      <c r="C87" s="26" t="s">
        <v>287</v>
      </c>
      <c r="D87" s="12">
        <v>60006631759</v>
      </c>
      <c r="E87" s="30" t="s">
        <v>188</v>
      </c>
      <c r="F87" s="8">
        <f>111.45/2</f>
        <v>55.725</v>
      </c>
      <c r="G87" s="8">
        <f>3.31/2</f>
        <v>1.655</v>
      </c>
      <c r="H87" s="8">
        <f>0.08/2</f>
        <v>0.04</v>
      </c>
      <c r="I87" s="9">
        <f t="shared" si="1"/>
        <v>57.42</v>
      </c>
      <c r="J87" s="19"/>
      <c r="K87" s="19"/>
      <c r="L87" s="19"/>
      <c r="M87" s="19"/>
    </row>
    <row r="88" spans="1:13" s="29" customFormat="1" ht="21" customHeight="1">
      <c r="A88" s="27"/>
      <c r="B88" s="26" t="s">
        <v>189</v>
      </c>
      <c r="C88" s="26" t="s">
        <v>339</v>
      </c>
      <c r="D88" s="12">
        <v>60006631974</v>
      </c>
      <c r="E88" s="30" t="s">
        <v>190</v>
      </c>
      <c r="F88" s="8">
        <v>248.81</v>
      </c>
      <c r="G88" s="8">
        <v>7.44</v>
      </c>
      <c r="H88" s="8">
        <v>0.06</v>
      </c>
      <c r="I88" s="9">
        <f t="shared" si="1"/>
        <v>256.31</v>
      </c>
      <c r="J88" s="19"/>
      <c r="K88" s="19"/>
      <c r="L88" s="19"/>
      <c r="M88" s="19"/>
    </row>
    <row r="89" spans="1:9" ht="21" customHeight="1">
      <c r="A89" s="27"/>
      <c r="B89" s="26" t="s">
        <v>191</v>
      </c>
      <c r="C89" s="26" t="s">
        <v>356</v>
      </c>
      <c r="D89" s="12">
        <v>60007843337</v>
      </c>
      <c r="E89" s="30" t="s">
        <v>192</v>
      </c>
      <c r="F89" s="8">
        <f>187.89/2</f>
        <v>93.945</v>
      </c>
      <c r="G89" s="8">
        <f>5.6/2</f>
        <v>2.8</v>
      </c>
      <c r="H89" s="8">
        <f>0.08/2</f>
        <v>0.04</v>
      </c>
      <c r="I89" s="9">
        <f t="shared" si="1"/>
        <v>96.785</v>
      </c>
    </row>
    <row r="90" spans="1:9" ht="21" customHeight="1">
      <c r="A90" s="27"/>
      <c r="B90" s="26" t="s">
        <v>193</v>
      </c>
      <c r="C90" s="26" t="s">
        <v>305</v>
      </c>
      <c r="D90" s="12">
        <v>60006631992</v>
      </c>
      <c r="E90" s="30" t="s">
        <v>194</v>
      </c>
      <c r="F90" s="8">
        <v>239.22</v>
      </c>
      <c r="G90" s="8">
        <v>7.14</v>
      </c>
      <c r="H90" s="8">
        <v>0.09</v>
      </c>
      <c r="I90" s="9">
        <f t="shared" si="1"/>
        <v>246.45</v>
      </c>
    </row>
    <row r="91" spans="1:9" ht="21" customHeight="1">
      <c r="A91" s="27"/>
      <c r="B91" s="26" t="s">
        <v>195</v>
      </c>
      <c r="C91" s="26" t="s">
        <v>341</v>
      </c>
      <c r="D91" s="12">
        <v>60006632013</v>
      </c>
      <c r="E91" s="30" t="s">
        <v>196</v>
      </c>
      <c r="F91" s="8">
        <f>36.55/2</f>
        <v>18.275</v>
      </c>
      <c r="G91" s="8">
        <f>1.06/2</f>
        <v>0.53</v>
      </c>
      <c r="H91" s="8">
        <f>0.08/2</f>
        <v>0.04</v>
      </c>
      <c r="I91" s="9">
        <f t="shared" si="1"/>
        <v>18.845</v>
      </c>
    </row>
    <row r="92" spans="1:9" ht="21" customHeight="1">
      <c r="A92" s="27"/>
      <c r="B92" s="26" t="s">
        <v>197</v>
      </c>
      <c r="C92" s="26" t="s">
        <v>288</v>
      </c>
      <c r="D92" s="12">
        <v>60006632028</v>
      </c>
      <c r="E92" s="30" t="s">
        <v>198</v>
      </c>
      <c r="F92" s="8">
        <f>581.12/2</f>
        <v>290.56</v>
      </c>
      <c r="G92" s="8">
        <f>17.34/2</f>
        <v>8.67</v>
      </c>
      <c r="H92" s="8">
        <f>0.21/2</f>
        <v>0.105</v>
      </c>
      <c r="I92" s="9">
        <f t="shared" si="1"/>
        <v>299.33500000000004</v>
      </c>
    </row>
    <row r="93" spans="1:10" ht="21" customHeight="1">
      <c r="A93" s="27"/>
      <c r="B93" s="26" t="s">
        <v>199</v>
      </c>
      <c r="C93" s="26" t="s">
        <v>342</v>
      </c>
      <c r="D93" s="12">
        <v>60006632034</v>
      </c>
      <c r="E93" s="30" t="s">
        <v>200</v>
      </c>
      <c r="F93" s="8">
        <v>30.11</v>
      </c>
      <c r="G93" s="8">
        <v>0.88</v>
      </c>
      <c r="H93" s="8">
        <v>0.05</v>
      </c>
      <c r="I93" s="9">
        <f t="shared" si="1"/>
        <v>31.04</v>
      </c>
      <c r="J93" s="21"/>
    </row>
    <row r="94" spans="1:9" ht="21" customHeight="1">
      <c r="A94" s="27"/>
      <c r="B94" s="26" t="s">
        <v>201</v>
      </c>
      <c r="C94" s="26" t="s">
        <v>343</v>
      </c>
      <c r="D94" s="12">
        <v>60006637176</v>
      </c>
      <c r="E94" s="30" t="s">
        <v>202</v>
      </c>
      <c r="F94" s="8">
        <f>106.48/3</f>
        <v>35.49333333333333</v>
      </c>
      <c r="G94" s="8">
        <f>3.19/2</f>
        <v>1.595</v>
      </c>
      <c r="H94" s="8">
        <v>0</v>
      </c>
      <c r="I94" s="9">
        <f t="shared" si="1"/>
        <v>37.08833333333333</v>
      </c>
    </row>
    <row r="95" spans="1:9" ht="21" customHeight="1">
      <c r="A95" s="27"/>
      <c r="B95" s="26" t="s">
        <v>203</v>
      </c>
      <c r="C95" s="93"/>
      <c r="D95" s="12">
        <v>60006637235</v>
      </c>
      <c r="E95" s="30" t="s">
        <v>204</v>
      </c>
      <c r="F95" s="8">
        <f>28.4/2</f>
        <v>14.2</v>
      </c>
      <c r="G95" s="8">
        <f>0.82/2</f>
        <v>0.41</v>
      </c>
      <c r="H95" s="8">
        <f>0.08/2</f>
        <v>0.04</v>
      </c>
      <c r="I95" s="9">
        <f t="shared" si="1"/>
        <v>14.649999999999999</v>
      </c>
    </row>
    <row r="96" spans="1:9" ht="21" customHeight="1">
      <c r="A96" s="27"/>
      <c r="B96" s="26" t="s">
        <v>205</v>
      </c>
      <c r="C96" s="26" t="s">
        <v>306</v>
      </c>
      <c r="D96" s="12">
        <v>60006637714</v>
      </c>
      <c r="E96" s="30" t="s">
        <v>206</v>
      </c>
      <c r="F96" s="8">
        <f>73.77/2</f>
        <v>36.885</v>
      </c>
      <c r="G96" s="8">
        <f>2.12/2</f>
        <v>1.06</v>
      </c>
      <c r="H96" s="8">
        <f>0.22/2</f>
        <v>0.11</v>
      </c>
      <c r="I96" s="9">
        <f t="shared" si="1"/>
        <v>38.055</v>
      </c>
    </row>
    <row r="97" spans="1:9" ht="21" customHeight="1">
      <c r="A97" s="27"/>
      <c r="B97" s="26" t="s">
        <v>207</v>
      </c>
      <c r="C97" s="93"/>
      <c r="D97" s="12">
        <v>60006642108</v>
      </c>
      <c r="E97" s="30" t="s">
        <v>208</v>
      </c>
      <c r="F97" s="8">
        <f>28.4/2</f>
        <v>14.2</v>
      </c>
      <c r="G97" s="8">
        <f>0.82/2</f>
        <v>0.41</v>
      </c>
      <c r="H97" s="8">
        <f>0.08/2</f>
        <v>0.04</v>
      </c>
      <c r="I97" s="9">
        <f t="shared" si="1"/>
        <v>14.649999999999999</v>
      </c>
    </row>
    <row r="98" spans="1:9" ht="21" customHeight="1">
      <c r="A98" s="27"/>
      <c r="B98" s="26" t="s">
        <v>209</v>
      </c>
      <c r="C98" s="93"/>
      <c r="D98" s="12">
        <v>60006642114</v>
      </c>
      <c r="E98" s="30" t="s">
        <v>210</v>
      </c>
      <c r="F98" s="8">
        <f>28.4/2</f>
        <v>14.2</v>
      </c>
      <c r="G98" s="8">
        <f>0.82/2</f>
        <v>0.41</v>
      </c>
      <c r="H98" s="8">
        <f>0.08/2</f>
        <v>0.04</v>
      </c>
      <c r="I98" s="9">
        <f t="shared" si="1"/>
        <v>14.649999999999999</v>
      </c>
    </row>
    <row r="99" spans="1:9" ht="21" customHeight="1">
      <c r="A99" s="27"/>
      <c r="B99" s="26" t="s">
        <v>211</v>
      </c>
      <c r="C99" s="26" t="s">
        <v>290</v>
      </c>
      <c r="D99" s="12">
        <v>60006644426</v>
      </c>
      <c r="E99" s="30" t="s">
        <v>212</v>
      </c>
      <c r="F99" s="8">
        <v>60.25</v>
      </c>
      <c r="G99" s="8">
        <v>1.78</v>
      </c>
      <c r="H99" s="8">
        <v>0.06</v>
      </c>
      <c r="I99" s="9">
        <f t="shared" si="1"/>
        <v>62.09</v>
      </c>
    </row>
    <row r="100" spans="1:9" ht="21" customHeight="1">
      <c r="A100" s="27"/>
      <c r="B100" s="26" t="s">
        <v>213</v>
      </c>
      <c r="C100" s="93"/>
      <c r="D100" s="12">
        <v>60006644431</v>
      </c>
      <c r="E100" s="30" t="s">
        <v>214</v>
      </c>
      <c r="F100" s="8">
        <v>91.2</v>
      </c>
      <c r="G100" s="8">
        <v>2.71</v>
      </c>
      <c r="H100" s="8">
        <v>0.06</v>
      </c>
      <c r="I100" s="9">
        <f t="shared" si="1"/>
        <v>93.97</v>
      </c>
    </row>
    <row r="101" spans="1:9" ht="21" customHeight="1">
      <c r="A101" s="27"/>
      <c r="B101" s="26" t="s">
        <v>215</v>
      </c>
      <c r="C101" s="26" t="s">
        <v>344</v>
      </c>
      <c r="D101" s="12">
        <v>60006644654</v>
      </c>
      <c r="E101" s="30" t="s">
        <v>216</v>
      </c>
      <c r="F101" s="18">
        <f>39.6/2</f>
        <v>19.8</v>
      </c>
      <c r="G101" s="18">
        <f>1.16/2</f>
        <v>0.58</v>
      </c>
      <c r="H101" s="18">
        <f>0.08/2</f>
        <v>0.04</v>
      </c>
      <c r="I101" s="87">
        <f t="shared" si="1"/>
        <v>20.419999999999998</v>
      </c>
    </row>
    <row r="102" spans="1:9" ht="21" customHeight="1">
      <c r="A102" s="27"/>
      <c r="B102" s="26" t="s">
        <v>217</v>
      </c>
      <c r="C102" s="93"/>
      <c r="D102" s="12">
        <v>60007182237</v>
      </c>
      <c r="E102" s="30" t="s">
        <v>218</v>
      </c>
      <c r="F102" s="8"/>
      <c r="G102" s="8"/>
      <c r="H102" s="8"/>
      <c r="I102" s="9">
        <f t="shared" si="1"/>
        <v>0</v>
      </c>
    </row>
    <row r="103" spans="1:9" ht="21" customHeight="1">
      <c r="A103" s="27"/>
      <c r="B103" s="26" t="s">
        <v>219</v>
      </c>
      <c r="C103" s="26" t="s">
        <v>354</v>
      </c>
      <c r="D103" s="12">
        <v>60007843211</v>
      </c>
      <c r="E103" s="30" t="s">
        <v>220</v>
      </c>
      <c r="F103" s="8">
        <v>32.2</v>
      </c>
      <c r="G103" s="8">
        <v>0.94</v>
      </c>
      <c r="H103" s="8">
        <v>0.06</v>
      </c>
      <c r="I103" s="9">
        <f t="shared" si="1"/>
        <v>33.2</v>
      </c>
    </row>
    <row r="104" spans="1:9" ht="21" customHeight="1">
      <c r="A104" s="27"/>
      <c r="B104" s="26" t="s">
        <v>221</v>
      </c>
      <c r="C104" s="26" t="s">
        <v>355</v>
      </c>
      <c r="D104" s="12">
        <v>60007843225</v>
      </c>
      <c r="E104" s="30" t="s">
        <v>222</v>
      </c>
      <c r="F104" s="8">
        <v>12.01</v>
      </c>
      <c r="G104" s="8">
        <v>0.33</v>
      </c>
      <c r="H104" s="8">
        <v>0.06</v>
      </c>
      <c r="I104" s="9">
        <f t="shared" si="1"/>
        <v>12.4</v>
      </c>
    </row>
    <row r="105" spans="1:9" ht="21" customHeight="1">
      <c r="A105" s="27"/>
      <c r="B105" s="26" t="s">
        <v>223</v>
      </c>
      <c r="C105" s="26" t="s">
        <v>347</v>
      </c>
      <c r="D105" s="12">
        <v>60007211343</v>
      </c>
      <c r="E105" s="30" t="s">
        <v>224</v>
      </c>
      <c r="F105" s="8">
        <f>10.87/2</f>
        <v>5.435</v>
      </c>
      <c r="G105" s="8">
        <f>0.33/2</f>
        <v>0.165</v>
      </c>
      <c r="H105" s="8">
        <v>0</v>
      </c>
      <c r="I105" s="9">
        <f t="shared" si="1"/>
        <v>5.6</v>
      </c>
    </row>
    <row r="106" spans="1:9" ht="21" customHeight="1">
      <c r="A106" s="27"/>
      <c r="B106" s="26" t="s">
        <v>225</v>
      </c>
      <c r="C106" s="26" t="s">
        <v>346</v>
      </c>
      <c r="D106" s="12">
        <v>60007211339</v>
      </c>
      <c r="E106" s="30" t="s">
        <v>226</v>
      </c>
      <c r="F106" s="8">
        <f>108.59/2</f>
        <v>54.295</v>
      </c>
      <c r="G106" s="8">
        <f>3.16/2</f>
        <v>1.58</v>
      </c>
      <c r="H106" s="8">
        <f>0.22/2</f>
        <v>0.11</v>
      </c>
      <c r="I106" s="9">
        <f t="shared" si="1"/>
        <v>55.985</v>
      </c>
    </row>
    <row r="107" spans="1:9" ht="21" customHeight="1">
      <c r="A107" s="27"/>
      <c r="B107" s="26" t="s">
        <v>227</v>
      </c>
      <c r="C107" s="26" t="s">
        <v>291</v>
      </c>
      <c r="D107" s="12">
        <v>60007239731</v>
      </c>
      <c r="E107" s="30" t="s">
        <v>228</v>
      </c>
      <c r="F107" s="8">
        <f>276.9/2</f>
        <v>138.45</v>
      </c>
      <c r="G107" s="8">
        <f>8.27/2</f>
        <v>4.135</v>
      </c>
      <c r="H107" s="8">
        <f>0.08/2</f>
        <v>0.04</v>
      </c>
      <c r="I107" s="9">
        <f t="shared" si="1"/>
        <v>142.62499999999997</v>
      </c>
    </row>
    <row r="108" spans="1:9" ht="21" customHeight="1">
      <c r="A108" s="27"/>
      <c r="B108" s="26" t="s">
        <v>229</v>
      </c>
      <c r="C108" s="26" t="s">
        <v>348</v>
      </c>
      <c r="D108" s="12">
        <v>60007483419</v>
      </c>
      <c r="E108" s="30" t="s">
        <v>230</v>
      </c>
      <c r="F108" s="8">
        <f>122.06/2</f>
        <v>61.03</v>
      </c>
      <c r="G108" s="8">
        <f>3.63/2</f>
        <v>1.815</v>
      </c>
      <c r="H108" s="8">
        <f>0.08/2</f>
        <v>0.04</v>
      </c>
      <c r="I108" s="9">
        <f t="shared" si="1"/>
        <v>62.885</v>
      </c>
    </row>
    <row r="109" spans="1:9" ht="21" customHeight="1">
      <c r="A109" s="27"/>
      <c r="B109" s="26" t="s">
        <v>231</v>
      </c>
      <c r="C109" s="26" t="s">
        <v>301</v>
      </c>
      <c r="D109" s="12">
        <v>60006579638</v>
      </c>
      <c r="E109" s="30" t="s">
        <v>232</v>
      </c>
      <c r="F109" s="8">
        <v>13.02</v>
      </c>
      <c r="G109" s="8">
        <v>0.36</v>
      </c>
      <c r="H109" s="8">
        <v>0.07</v>
      </c>
      <c r="I109" s="9">
        <f t="shared" si="1"/>
        <v>13.45</v>
      </c>
    </row>
    <row r="110" spans="1:9" ht="21" customHeight="1">
      <c r="A110" s="27"/>
      <c r="B110" s="26" t="s">
        <v>233</v>
      </c>
      <c r="C110" s="26" t="s">
        <v>349</v>
      </c>
      <c r="D110" s="12">
        <v>60006579657</v>
      </c>
      <c r="E110" s="30" t="s">
        <v>234</v>
      </c>
      <c r="F110" s="8">
        <v>132.36</v>
      </c>
      <c r="G110" s="8">
        <v>3.94</v>
      </c>
      <c r="H110" s="8">
        <v>0.07</v>
      </c>
      <c r="I110" s="9">
        <f t="shared" si="1"/>
        <v>136.37</v>
      </c>
    </row>
    <row r="111" spans="1:9" ht="21" customHeight="1">
      <c r="A111" s="27"/>
      <c r="B111" s="26" t="s">
        <v>235</v>
      </c>
      <c r="C111" s="93"/>
      <c r="D111" s="12">
        <v>60006579676</v>
      </c>
      <c r="E111" s="30" t="s">
        <v>236</v>
      </c>
      <c r="F111" s="8">
        <v>14.31</v>
      </c>
      <c r="G111" s="8">
        <v>0.4</v>
      </c>
      <c r="H111" s="8">
        <v>0.07</v>
      </c>
      <c r="I111" s="9">
        <f t="shared" si="1"/>
        <v>14.780000000000001</v>
      </c>
    </row>
    <row r="112" spans="1:9" ht="21" customHeight="1">
      <c r="A112" s="27"/>
      <c r="B112" s="26" t="s">
        <v>237</v>
      </c>
      <c r="C112" s="26" t="s">
        <v>351</v>
      </c>
      <c r="D112" s="12">
        <v>60007631681</v>
      </c>
      <c r="E112" s="30" t="s">
        <v>238</v>
      </c>
      <c r="F112" s="8">
        <v>18.6</v>
      </c>
      <c r="G112" s="8">
        <v>0.53</v>
      </c>
      <c r="H112" s="8">
        <v>0.06</v>
      </c>
      <c r="I112" s="9">
        <f t="shared" si="1"/>
        <v>19.19</v>
      </c>
    </row>
    <row r="113" spans="1:9" ht="21" customHeight="1">
      <c r="A113" s="27"/>
      <c r="B113" s="26" t="s">
        <v>239</v>
      </c>
      <c r="C113" s="26" t="s">
        <v>357</v>
      </c>
      <c r="D113" s="12">
        <v>60007848373</v>
      </c>
      <c r="E113" s="30" t="s">
        <v>240</v>
      </c>
      <c r="F113" s="8">
        <f>302.21/2</f>
        <v>151.105</v>
      </c>
      <c r="G113" s="8">
        <f>8.97/2</f>
        <v>4.485</v>
      </c>
      <c r="H113" s="8">
        <f>0.21/2</f>
        <v>0.105</v>
      </c>
      <c r="I113" s="9">
        <f t="shared" si="1"/>
        <v>155.695</v>
      </c>
    </row>
    <row r="114" spans="1:9" ht="21" customHeight="1">
      <c r="A114" s="27"/>
      <c r="B114" s="26" t="s">
        <v>241</v>
      </c>
      <c r="C114" s="26" t="s">
        <v>338</v>
      </c>
      <c r="D114" s="12">
        <v>60006631880</v>
      </c>
      <c r="E114" s="30" t="s">
        <v>242</v>
      </c>
      <c r="F114" s="8">
        <f>70.32/2</f>
        <v>35.16</v>
      </c>
      <c r="G114" s="8">
        <f>2.08/2</f>
        <v>1.04</v>
      </c>
      <c r="H114" s="8">
        <f>0.08/2</f>
        <v>0.04</v>
      </c>
      <c r="I114" s="9">
        <f t="shared" si="1"/>
        <v>36.239999999999995</v>
      </c>
    </row>
    <row r="115" spans="1:9" ht="21" customHeight="1">
      <c r="A115" s="27"/>
      <c r="B115" s="26" t="s">
        <v>243</v>
      </c>
      <c r="C115" s="26" t="s">
        <v>320</v>
      </c>
      <c r="D115" s="12">
        <v>60006631920</v>
      </c>
      <c r="E115" s="30" t="s">
        <v>244</v>
      </c>
      <c r="F115" s="8">
        <f>326.07/2</f>
        <v>163.035</v>
      </c>
      <c r="G115" s="8">
        <f>9.7/2</f>
        <v>4.85</v>
      </c>
      <c r="H115" s="8">
        <f>0.2/2</f>
        <v>0.1</v>
      </c>
      <c r="I115" s="9">
        <f t="shared" si="1"/>
        <v>167.98499999999999</v>
      </c>
    </row>
    <row r="116" spans="1:9" ht="21" customHeight="1">
      <c r="A116" s="27"/>
      <c r="B116" s="26" t="s">
        <v>245</v>
      </c>
      <c r="C116" s="26" t="s">
        <v>340</v>
      </c>
      <c r="D116" s="12">
        <v>60006631987</v>
      </c>
      <c r="E116" s="30" t="s">
        <v>246</v>
      </c>
      <c r="F116" s="8">
        <f>584.32/2</f>
        <v>292.16</v>
      </c>
      <c r="G116" s="8">
        <f>17.44/2</f>
        <v>8.72</v>
      </c>
      <c r="H116" s="8">
        <f>0.22/2</f>
        <v>0.11</v>
      </c>
      <c r="I116" s="9">
        <f t="shared" si="1"/>
        <v>300.99000000000007</v>
      </c>
    </row>
    <row r="117" spans="1:9" ht="21" customHeight="1">
      <c r="A117" s="27"/>
      <c r="B117" s="26" t="s">
        <v>247</v>
      </c>
      <c r="C117" s="26" t="s">
        <v>373</v>
      </c>
      <c r="D117" s="12">
        <v>60006632009</v>
      </c>
      <c r="E117" s="30" t="s">
        <v>248</v>
      </c>
      <c r="F117" s="8">
        <f>502.96/2</f>
        <v>251.48</v>
      </c>
      <c r="G117" s="8">
        <f>14.99/2</f>
        <v>7.495</v>
      </c>
      <c r="H117" s="8">
        <f>0.24/2</f>
        <v>0.12</v>
      </c>
      <c r="I117" s="9">
        <f t="shared" si="1"/>
        <v>259.09499999999997</v>
      </c>
    </row>
    <row r="118" spans="1:9" ht="21" customHeight="1">
      <c r="A118" s="27"/>
      <c r="B118" s="26" t="s">
        <v>249</v>
      </c>
      <c r="C118" s="26" t="s">
        <v>350</v>
      </c>
      <c r="D118" s="12">
        <v>60007611240</v>
      </c>
      <c r="E118" s="30" t="s">
        <v>250</v>
      </c>
      <c r="F118" s="8">
        <f>434.77/2</f>
        <v>217.385</v>
      </c>
      <c r="G118" s="8">
        <f>13.01/2</f>
        <v>6.505</v>
      </c>
      <c r="H118" s="8">
        <f>0.07/2</f>
        <v>0.035</v>
      </c>
      <c r="I118" s="9">
        <f t="shared" si="1"/>
        <v>223.92499999999998</v>
      </c>
    </row>
    <row r="119" spans="1:9" ht="21" customHeight="1">
      <c r="A119" s="27"/>
      <c r="B119" s="26" t="s">
        <v>251</v>
      </c>
      <c r="C119" s="26" t="s">
        <v>337</v>
      </c>
      <c r="D119" s="12">
        <v>60006613294</v>
      </c>
      <c r="E119" s="30" t="s">
        <v>252</v>
      </c>
      <c r="F119" s="8">
        <f>43.8/2</f>
        <v>21.9</v>
      </c>
      <c r="G119" s="8">
        <f>1.31/2</f>
        <v>0.655</v>
      </c>
      <c r="H119" s="8">
        <v>0</v>
      </c>
      <c r="I119" s="9">
        <f t="shared" si="1"/>
        <v>22.555</v>
      </c>
    </row>
    <row r="120" spans="1:9" ht="21" customHeight="1">
      <c r="A120" s="27"/>
      <c r="B120" s="26" t="s">
        <v>253</v>
      </c>
      <c r="C120" s="26" t="s">
        <v>303</v>
      </c>
      <c r="D120" s="12">
        <v>60006631725</v>
      </c>
      <c r="E120" s="30" t="s">
        <v>254</v>
      </c>
      <c r="F120" s="8">
        <f>300.24/2</f>
        <v>150.12</v>
      </c>
      <c r="G120" s="8">
        <f>8.97/2</f>
        <v>4.485</v>
      </c>
      <c r="H120" s="8">
        <f>0.08/2</f>
        <v>0.04</v>
      </c>
      <c r="I120" s="9">
        <f aca="true" t="shared" si="2" ref="I120:I130">SUM(F120:H120)</f>
        <v>154.645</v>
      </c>
    </row>
    <row r="121" spans="1:9" ht="21" customHeight="1">
      <c r="A121" s="27"/>
      <c r="B121" s="26" t="s">
        <v>255</v>
      </c>
      <c r="C121" s="26" t="s">
        <v>304</v>
      </c>
      <c r="D121" s="12">
        <v>60006631818</v>
      </c>
      <c r="E121" s="30" t="s">
        <v>256</v>
      </c>
      <c r="F121" s="8">
        <f>14.39/2+14.3/2</f>
        <v>14.345</v>
      </c>
      <c r="G121" s="8">
        <f>0.41/2+0.4/2</f>
        <v>0.405</v>
      </c>
      <c r="H121" s="8">
        <f>0.05/2+0.06/2</f>
        <v>0.055</v>
      </c>
      <c r="I121" s="9">
        <f t="shared" si="2"/>
        <v>14.805</v>
      </c>
    </row>
    <row r="122" spans="1:9" ht="21" customHeight="1">
      <c r="A122" s="28"/>
      <c r="B122" s="25" t="s">
        <v>257</v>
      </c>
      <c r="C122" s="95"/>
      <c r="D122" s="14">
        <v>60006631824</v>
      </c>
      <c r="E122" s="45" t="s">
        <v>258</v>
      </c>
      <c r="F122" s="15">
        <f>1115.13*0.5</f>
        <v>557.565</v>
      </c>
      <c r="G122" s="15">
        <f>33.37*0.5</f>
        <v>16.685</v>
      </c>
      <c r="H122" s="15">
        <f>0.19*0.5</f>
        <v>0.095</v>
      </c>
      <c r="I122" s="9">
        <f t="shared" si="2"/>
        <v>574.345</v>
      </c>
    </row>
    <row r="123" spans="1:9" ht="21" customHeight="1">
      <c r="A123" s="28"/>
      <c r="B123" s="25" t="s">
        <v>259</v>
      </c>
      <c r="C123" s="25" t="s">
        <v>345</v>
      </c>
      <c r="D123" s="14">
        <v>60006872372</v>
      </c>
      <c r="E123" s="45" t="s">
        <v>260</v>
      </c>
      <c r="F123" s="15">
        <v>30.99</v>
      </c>
      <c r="G123" s="15">
        <v>0.9</v>
      </c>
      <c r="H123" s="15">
        <v>0.06</v>
      </c>
      <c r="I123" s="9">
        <f t="shared" si="2"/>
        <v>31.949999999999996</v>
      </c>
    </row>
    <row r="124" spans="1:9" ht="21" customHeight="1">
      <c r="A124" s="28"/>
      <c r="B124" s="25" t="s">
        <v>261</v>
      </c>
      <c r="C124" s="25" t="s">
        <v>321</v>
      </c>
      <c r="D124" s="14">
        <v>60006974384</v>
      </c>
      <c r="E124" s="45" t="s">
        <v>262</v>
      </c>
      <c r="F124" s="15">
        <f>121.8/2</f>
        <v>60.9</v>
      </c>
      <c r="G124" s="15">
        <f>3.62/2</f>
        <v>1.81</v>
      </c>
      <c r="H124" s="15">
        <f>0.08/2</f>
        <v>0.04</v>
      </c>
      <c r="I124" s="9">
        <f t="shared" si="2"/>
        <v>62.75</v>
      </c>
    </row>
    <row r="125" spans="1:9" ht="21" customHeight="1">
      <c r="A125" s="28"/>
      <c r="B125" s="25" t="s">
        <v>263</v>
      </c>
      <c r="C125" s="25" t="s">
        <v>368</v>
      </c>
      <c r="D125" s="14">
        <v>60006581324</v>
      </c>
      <c r="E125" s="45" t="s">
        <v>264</v>
      </c>
      <c r="F125" s="15">
        <v>352.32</v>
      </c>
      <c r="G125" s="15">
        <v>10.52</v>
      </c>
      <c r="H125" s="15">
        <v>0.11</v>
      </c>
      <c r="I125" s="9">
        <f t="shared" si="2"/>
        <v>362.95</v>
      </c>
    </row>
    <row r="126" spans="1:9" ht="21" customHeight="1">
      <c r="A126" s="28"/>
      <c r="B126" s="25" t="s">
        <v>265</v>
      </c>
      <c r="C126" s="25" t="s">
        <v>352</v>
      </c>
      <c r="D126" s="14">
        <v>60007651627</v>
      </c>
      <c r="E126" s="45" t="s">
        <v>266</v>
      </c>
      <c r="F126" s="15">
        <v>15.96</v>
      </c>
      <c r="G126" s="15">
        <v>0.45</v>
      </c>
      <c r="H126" s="15">
        <v>0.06</v>
      </c>
      <c r="I126" s="9">
        <f t="shared" si="2"/>
        <v>16.47</v>
      </c>
    </row>
    <row r="127" spans="1:9" ht="21" customHeight="1">
      <c r="A127" s="28"/>
      <c r="B127" s="25" t="s">
        <v>267</v>
      </c>
      <c r="C127" s="95"/>
      <c r="D127" s="14">
        <v>83007351147</v>
      </c>
      <c r="E127" s="45" t="s">
        <v>268</v>
      </c>
      <c r="F127" s="15">
        <v>13.83</v>
      </c>
      <c r="G127" s="15">
        <v>0.39</v>
      </c>
      <c r="H127" s="15">
        <v>0.07</v>
      </c>
      <c r="I127" s="9">
        <f t="shared" si="2"/>
        <v>14.290000000000001</v>
      </c>
    </row>
    <row r="128" spans="1:9" ht="21" customHeight="1">
      <c r="A128" s="28"/>
      <c r="B128" s="25" t="s">
        <v>269</v>
      </c>
      <c r="C128" s="25"/>
      <c r="D128" s="14">
        <v>83007705623</v>
      </c>
      <c r="E128" s="45" t="s">
        <v>270</v>
      </c>
      <c r="F128" s="15">
        <v>23.04</v>
      </c>
      <c r="G128" s="15">
        <v>0.66</v>
      </c>
      <c r="H128" s="15">
        <v>0.07</v>
      </c>
      <c r="I128" s="9">
        <f t="shared" si="2"/>
        <v>23.77</v>
      </c>
    </row>
    <row r="129" spans="1:9" ht="21" customHeight="1">
      <c r="A129" s="28"/>
      <c r="B129" s="25" t="s">
        <v>271</v>
      </c>
      <c r="C129" s="25"/>
      <c r="D129" s="14">
        <v>83007812488</v>
      </c>
      <c r="E129" s="45" t="s">
        <v>272</v>
      </c>
      <c r="F129" s="15">
        <v>75.6</v>
      </c>
      <c r="G129" s="15">
        <v>2.24</v>
      </c>
      <c r="H129" s="15">
        <v>0.07</v>
      </c>
      <c r="I129" s="9">
        <f t="shared" si="2"/>
        <v>77.90999999999998</v>
      </c>
    </row>
    <row r="130" spans="1:9" ht="21" customHeight="1">
      <c r="A130" s="28"/>
      <c r="B130" s="25" t="s">
        <v>273</v>
      </c>
      <c r="C130" s="25"/>
      <c r="D130" s="14">
        <v>83007946440</v>
      </c>
      <c r="E130" s="45" t="s">
        <v>274</v>
      </c>
      <c r="F130" s="15"/>
      <c r="G130" s="15"/>
      <c r="H130" s="15"/>
      <c r="I130" s="9">
        <f t="shared" si="2"/>
        <v>0</v>
      </c>
    </row>
    <row r="131" spans="1:9" ht="21" customHeight="1" thickBot="1">
      <c r="A131" s="10" t="s">
        <v>0</v>
      </c>
      <c r="B131" s="24"/>
      <c r="C131" s="24"/>
      <c r="D131" s="13"/>
      <c r="E131" s="13"/>
      <c r="F131" s="34"/>
      <c r="G131" s="34"/>
      <c r="H131" s="34"/>
      <c r="I131" s="38">
        <f>SUM(I8:I130)</f>
        <v>29391.088333333355</v>
      </c>
    </row>
    <row r="132" ht="13.5" thickTop="1"/>
  </sheetData>
  <sheetProtection/>
  <mergeCells count="3">
    <mergeCell ref="H3:I3"/>
    <mergeCell ref="G4:I4"/>
    <mergeCell ref="G2:I2"/>
  </mergeCells>
  <printOptions horizontalCentered="1"/>
  <pageMargins left="0.3937007874015748" right="0.3937007874015748" top="0.5905511811023623" bottom="0.5905511811023623" header="0" footer="0"/>
  <pageSetup fitToHeight="0" fitToWidth="1" horizontalDpi="600" verticalDpi="600" orientation="portrait" paperSize="9" scale="3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 tint="-0.7499799728393555"/>
    <pageSetUpPr fitToPage="1"/>
  </sheetPr>
  <dimension ref="A1:J131"/>
  <sheetViews>
    <sheetView view="pageBreakPreview" zoomScale="90" zoomScaleSheetLayoutView="90" zoomScalePageLayoutView="0" workbookViewId="0" topLeftCell="A53">
      <selection activeCell="A54" sqref="A54:IV56"/>
    </sheetView>
  </sheetViews>
  <sheetFormatPr defaultColWidth="11.421875" defaultRowHeight="12.75"/>
  <cols>
    <col min="1" max="1" width="15.140625" style="1" customWidth="1"/>
    <col min="2" max="2" width="89.140625" style="21" customWidth="1"/>
    <col min="3" max="3" width="103.421875" style="21" customWidth="1"/>
    <col min="4" max="4" width="23.8515625" style="1" customWidth="1"/>
    <col min="5" max="5" width="34.28125" style="1" hidden="1" customWidth="1"/>
    <col min="6" max="6" width="22.57421875" style="2" customWidth="1"/>
    <col min="7" max="7" width="23.421875" style="2" customWidth="1"/>
    <col min="8" max="8" width="19.140625" style="2" customWidth="1"/>
    <col min="9" max="9" width="18.28125" style="52" bestFit="1" customWidth="1"/>
    <col min="10" max="10" width="11.421875" style="1" customWidth="1"/>
    <col min="11" max="11" width="11.57421875" style="1" bestFit="1" customWidth="1"/>
    <col min="12" max="16384" width="11.421875" style="1" customWidth="1"/>
  </cols>
  <sheetData>
    <row r="1" spans="1:8" ht="15.75" customHeight="1">
      <c r="A1" s="52"/>
      <c r="B1" s="54"/>
      <c r="C1" s="54"/>
      <c r="F1" s="52"/>
      <c r="G1" s="52"/>
      <c r="H1" s="52"/>
    </row>
    <row r="2" spans="1:9" ht="42.75" customHeight="1">
      <c r="A2" s="52"/>
      <c r="B2" s="54"/>
      <c r="C2" s="54"/>
      <c r="F2" s="101" t="s">
        <v>116</v>
      </c>
      <c r="G2" s="101"/>
      <c r="H2" s="101"/>
      <c r="I2" s="101"/>
    </row>
    <row r="3" spans="1:9" ht="33.75" customHeight="1">
      <c r="A3" s="52"/>
      <c r="B3" s="54"/>
      <c r="C3" s="54"/>
      <c r="F3" s="52"/>
      <c r="G3" s="100"/>
      <c r="H3" s="100"/>
      <c r="I3" s="100"/>
    </row>
    <row r="4" spans="1:9" ht="21.75" customHeight="1">
      <c r="A4" s="52"/>
      <c r="B4" s="54"/>
      <c r="C4" s="54"/>
      <c r="F4" s="99" t="s">
        <v>122</v>
      </c>
      <c r="G4" s="99"/>
      <c r="H4" s="99"/>
      <c r="I4" s="99"/>
    </row>
    <row r="5" spans="1:8" ht="15.75" customHeight="1">
      <c r="A5" s="52"/>
      <c r="B5" s="54"/>
      <c r="C5" s="54"/>
      <c r="F5" s="52"/>
      <c r="G5" s="52"/>
      <c r="H5" s="52"/>
    </row>
    <row r="6" spans="1:8" ht="15.75" customHeight="1" thickBot="1">
      <c r="A6" s="55"/>
      <c r="B6" s="56"/>
      <c r="C6" s="56"/>
      <c r="D6" s="3"/>
      <c r="E6" s="3"/>
      <c r="F6" s="55"/>
      <c r="G6" s="55"/>
      <c r="H6" s="55"/>
    </row>
    <row r="7" spans="1:9" ht="21" customHeight="1" thickTop="1">
      <c r="A7" s="57" t="s">
        <v>1</v>
      </c>
      <c r="B7" s="58" t="s">
        <v>3</v>
      </c>
      <c r="C7" s="23" t="s">
        <v>285</v>
      </c>
      <c r="D7" s="11" t="s">
        <v>2</v>
      </c>
      <c r="E7" s="16" t="s">
        <v>11</v>
      </c>
      <c r="F7" s="59" t="s">
        <v>4</v>
      </c>
      <c r="G7" s="59" t="s">
        <v>5</v>
      </c>
      <c r="H7" s="73" t="s">
        <v>13</v>
      </c>
      <c r="I7" s="53" t="s">
        <v>0</v>
      </c>
    </row>
    <row r="8" spans="1:9" ht="21" customHeight="1">
      <c r="A8" s="60"/>
      <c r="B8" s="72" t="s">
        <v>15</v>
      </c>
      <c r="C8" s="72" t="s">
        <v>316</v>
      </c>
      <c r="D8" s="12">
        <v>83006884161</v>
      </c>
      <c r="E8" s="30" t="s">
        <v>16</v>
      </c>
      <c r="F8" s="46">
        <v>34</v>
      </c>
      <c r="G8" s="46">
        <v>133</v>
      </c>
      <c r="H8" s="74">
        <v>71</v>
      </c>
      <c r="I8" s="51">
        <f>F8+G8+H8</f>
        <v>238</v>
      </c>
    </row>
    <row r="9" spans="1:9" ht="21" customHeight="1">
      <c r="A9" s="60"/>
      <c r="B9" s="26" t="s">
        <v>17</v>
      </c>
      <c r="C9" s="26" t="s">
        <v>314</v>
      </c>
      <c r="D9" s="12">
        <v>83001699293</v>
      </c>
      <c r="E9" s="30" t="s">
        <v>19</v>
      </c>
      <c r="F9" s="46">
        <v>1672</v>
      </c>
      <c r="G9" s="46">
        <v>0</v>
      </c>
      <c r="H9" s="74">
        <v>0</v>
      </c>
      <c r="I9" s="51">
        <f aca="true" t="shared" si="0" ref="I9:I59">F9+G9+H9</f>
        <v>1672</v>
      </c>
    </row>
    <row r="10" spans="1:9" ht="21" customHeight="1">
      <c r="A10" s="60"/>
      <c r="B10" s="26" t="s">
        <v>18</v>
      </c>
      <c r="C10" s="26" t="s">
        <v>324</v>
      </c>
      <c r="D10" s="12">
        <v>83002793469</v>
      </c>
      <c r="E10" s="30" t="s">
        <v>20</v>
      </c>
      <c r="F10" s="46">
        <v>3285</v>
      </c>
      <c r="G10" s="46">
        <v>1098</v>
      </c>
      <c r="H10" s="74">
        <v>415</v>
      </c>
      <c r="I10" s="51">
        <f t="shared" si="0"/>
        <v>4798</v>
      </c>
    </row>
    <row r="11" spans="1:9" ht="21" customHeight="1">
      <c r="A11" s="60"/>
      <c r="B11" s="26" t="s">
        <v>21</v>
      </c>
      <c r="C11" s="26" t="s">
        <v>365</v>
      </c>
      <c r="D11" s="12">
        <v>83005319585</v>
      </c>
      <c r="E11" s="30" t="s">
        <v>22</v>
      </c>
      <c r="F11" s="46">
        <v>135</v>
      </c>
      <c r="G11" s="46">
        <v>474</v>
      </c>
      <c r="H11" s="74">
        <v>159</v>
      </c>
      <c r="I11" s="51">
        <f t="shared" si="0"/>
        <v>768</v>
      </c>
    </row>
    <row r="12" spans="1:9" ht="21" customHeight="1">
      <c r="A12" s="60"/>
      <c r="B12" s="26" t="s">
        <v>23</v>
      </c>
      <c r="C12" s="26" t="s">
        <v>325</v>
      </c>
      <c r="D12" s="61">
        <v>999395654431</v>
      </c>
      <c r="E12" s="30" t="s">
        <v>24</v>
      </c>
      <c r="F12" s="46">
        <v>5465</v>
      </c>
      <c r="G12" s="46">
        <v>1719</v>
      </c>
      <c r="H12" s="74">
        <v>1033</v>
      </c>
      <c r="I12" s="51">
        <f t="shared" si="0"/>
        <v>8217</v>
      </c>
    </row>
    <row r="13" spans="1:9" ht="21" customHeight="1">
      <c r="A13" s="60"/>
      <c r="B13" s="26" t="s">
        <v>25</v>
      </c>
      <c r="C13" s="26" t="s">
        <v>315</v>
      </c>
      <c r="D13" s="61">
        <v>999395655454</v>
      </c>
      <c r="E13" s="30" t="s">
        <v>26</v>
      </c>
      <c r="F13" s="46">
        <v>659</v>
      </c>
      <c r="G13" s="46">
        <v>1465</v>
      </c>
      <c r="H13" s="74">
        <v>214</v>
      </c>
      <c r="I13" s="51">
        <f t="shared" si="0"/>
        <v>2338</v>
      </c>
    </row>
    <row r="14" spans="1:9" ht="21" customHeight="1">
      <c r="A14" s="60"/>
      <c r="B14" s="26" t="s">
        <v>27</v>
      </c>
      <c r="C14" s="26" t="s">
        <v>326</v>
      </c>
      <c r="D14" s="61">
        <v>512012286</v>
      </c>
      <c r="E14" s="30" t="s">
        <v>28</v>
      </c>
      <c r="F14" s="46">
        <v>2706</v>
      </c>
      <c r="G14" s="46">
        <v>886</v>
      </c>
      <c r="H14" s="74">
        <v>313</v>
      </c>
      <c r="I14" s="51">
        <f t="shared" si="0"/>
        <v>3905</v>
      </c>
    </row>
    <row r="15" spans="1:9" ht="21" customHeight="1">
      <c r="A15" s="60"/>
      <c r="B15" s="26" t="s">
        <v>29</v>
      </c>
      <c r="C15" s="26" t="s">
        <v>327</v>
      </c>
      <c r="D15" s="61">
        <v>999395659634</v>
      </c>
      <c r="E15" s="30" t="s">
        <v>30</v>
      </c>
      <c r="F15" s="46">
        <v>1990</v>
      </c>
      <c r="G15" s="46">
        <v>771</v>
      </c>
      <c r="H15" s="74">
        <v>381</v>
      </c>
      <c r="I15" s="51">
        <f t="shared" si="0"/>
        <v>3142</v>
      </c>
    </row>
    <row r="16" spans="1:9" ht="21" customHeight="1">
      <c r="A16" s="60"/>
      <c r="B16" s="26" t="s">
        <v>31</v>
      </c>
      <c r="C16" s="26" t="s">
        <v>317</v>
      </c>
      <c r="D16" s="61">
        <v>999395660462</v>
      </c>
      <c r="E16" s="30" t="s">
        <v>32</v>
      </c>
      <c r="F16" s="46">
        <v>502</v>
      </c>
      <c r="G16" s="46">
        <v>708</v>
      </c>
      <c r="H16" s="74">
        <v>770</v>
      </c>
      <c r="I16" s="51">
        <f t="shared" si="0"/>
        <v>1980</v>
      </c>
    </row>
    <row r="17" spans="1:9" ht="21" customHeight="1">
      <c r="A17" s="60"/>
      <c r="B17" s="26" t="s">
        <v>33</v>
      </c>
      <c r="C17" s="26" t="s">
        <v>366</v>
      </c>
      <c r="D17" s="61">
        <v>999395662284</v>
      </c>
      <c r="E17" s="30" t="s">
        <v>34</v>
      </c>
      <c r="F17" s="46">
        <v>2199</v>
      </c>
      <c r="G17" s="46">
        <v>6419</v>
      </c>
      <c r="H17" s="74">
        <v>2960</v>
      </c>
      <c r="I17" s="51">
        <f t="shared" si="0"/>
        <v>11578</v>
      </c>
    </row>
    <row r="18" spans="1:9" ht="21" customHeight="1">
      <c r="A18" s="60"/>
      <c r="B18" s="26" t="s">
        <v>35</v>
      </c>
      <c r="C18" s="26" t="s">
        <v>292</v>
      </c>
      <c r="D18" s="61">
        <v>999395662947</v>
      </c>
      <c r="E18" s="30" t="s">
        <v>36</v>
      </c>
      <c r="F18" s="46">
        <v>169</v>
      </c>
      <c r="G18" s="46">
        <v>1296</v>
      </c>
      <c r="H18" s="74">
        <v>305</v>
      </c>
      <c r="I18" s="51">
        <f t="shared" si="0"/>
        <v>1770</v>
      </c>
    </row>
    <row r="19" spans="1:9" ht="21" customHeight="1">
      <c r="A19" s="60"/>
      <c r="B19" s="26" t="s">
        <v>37</v>
      </c>
      <c r="C19" s="26" t="s">
        <v>369</v>
      </c>
      <c r="D19" s="61">
        <v>999395663410</v>
      </c>
      <c r="E19" s="30" t="s">
        <v>38</v>
      </c>
      <c r="F19" s="46">
        <v>158</v>
      </c>
      <c r="G19" s="46">
        <v>1315</v>
      </c>
      <c r="H19" s="74">
        <v>306</v>
      </c>
      <c r="I19" s="51">
        <f t="shared" si="0"/>
        <v>1779</v>
      </c>
    </row>
    <row r="20" spans="1:9" ht="21" customHeight="1">
      <c r="A20" s="60"/>
      <c r="B20" s="26" t="s">
        <v>39</v>
      </c>
      <c r="C20" s="26" t="s">
        <v>293</v>
      </c>
      <c r="D20" s="61">
        <v>999395665004</v>
      </c>
      <c r="E20" s="30" t="s">
        <v>40</v>
      </c>
      <c r="F20" s="46">
        <v>1575</v>
      </c>
      <c r="G20" s="46">
        <v>2442</v>
      </c>
      <c r="H20" s="74">
        <v>907</v>
      </c>
      <c r="I20" s="51">
        <f t="shared" si="0"/>
        <v>4924</v>
      </c>
    </row>
    <row r="21" spans="1:9" ht="21" customHeight="1">
      <c r="A21" s="60"/>
      <c r="B21" s="26" t="s">
        <v>41</v>
      </c>
      <c r="C21" s="26" t="s">
        <v>367</v>
      </c>
      <c r="D21" s="61">
        <v>999395665500</v>
      </c>
      <c r="E21" s="30" t="s">
        <v>42</v>
      </c>
      <c r="F21" s="46">
        <v>1028</v>
      </c>
      <c r="G21" s="46">
        <v>1888</v>
      </c>
      <c r="H21" s="74">
        <v>911</v>
      </c>
      <c r="I21" s="51">
        <f t="shared" si="0"/>
        <v>3827</v>
      </c>
    </row>
    <row r="22" spans="1:9" ht="21" customHeight="1">
      <c r="A22" s="60"/>
      <c r="B22" s="26" t="s">
        <v>43</v>
      </c>
      <c r="C22" s="93"/>
      <c r="D22" s="61">
        <v>999395674678</v>
      </c>
      <c r="E22" s="30" t="s">
        <v>44</v>
      </c>
      <c r="F22" s="46">
        <v>251</v>
      </c>
      <c r="G22" s="46">
        <v>176</v>
      </c>
      <c r="H22" s="74">
        <v>200</v>
      </c>
      <c r="I22" s="51">
        <f t="shared" si="0"/>
        <v>627</v>
      </c>
    </row>
    <row r="23" spans="1:9" ht="21" customHeight="1">
      <c r="A23" s="60"/>
      <c r="B23" s="26" t="s">
        <v>45</v>
      </c>
      <c r="C23" s="26" t="s">
        <v>307</v>
      </c>
      <c r="D23" s="61">
        <v>999395675751</v>
      </c>
      <c r="E23" s="30" t="s">
        <v>46</v>
      </c>
      <c r="F23" s="46">
        <v>744</v>
      </c>
      <c r="G23" s="46">
        <v>1474</v>
      </c>
      <c r="H23" s="74">
        <v>583</v>
      </c>
      <c r="I23" s="51">
        <f t="shared" si="0"/>
        <v>2801</v>
      </c>
    </row>
    <row r="24" spans="1:9" s="19" customFormat="1" ht="21" customHeight="1">
      <c r="A24" s="60"/>
      <c r="B24" s="26" t="s">
        <v>47</v>
      </c>
      <c r="C24" s="26" t="s">
        <v>318</v>
      </c>
      <c r="D24" s="61">
        <v>999395676257</v>
      </c>
      <c r="E24" s="30" t="s">
        <v>48</v>
      </c>
      <c r="F24" s="46">
        <v>38</v>
      </c>
      <c r="G24" s="46">
        <v>377</v>
      </c>
      <c r="H24" s="74">
        <v>104</v>
      </c>
      <c r="I24" s="51">
        <f t="shared" si="0"/>
        <v>519</v>
      </c>
    </row>
    <row r="25" spans="1:9" s="19" customFormat="1" ht="21" customHeight="1">
      <c r="A25" s="60"/>
      <c r="B25" s="26" t="s">
        <v>49</v>
      </c>
      <c r="C25" s="26" t="s">
        <v>328</v>
      </c>
      <c r="D25" s="61">
        <v>999395676905</v>
      </c>
      <c r="E25" s="30" t="s">
        <v>50</v>
      </c>
      <c r="F25" s="46"/>
      <c r="G25" s="46"/>
      <c r="H25" s="74"/>
      <c r="I25" s="51">
        <f t="shared" si="0"/>
        <v>0</v>
      </c>
    </row>
    <row r="26" spans="1:9" ht="21" customHeight="1">
      <c r="A26" s="60"/>
      <c r="B26" s="26" t="s">
        <v>51</v>
      </c>
      <c r="C26" s="93"/>
      <c r="D26" s="61">
        <v>999395677339</v>
      </c>
      <c r="E26" s="30" t="s">
        <v>52</v>
      </c>
      <c r="F26" s="46">
        <v>1105</v>
      </c>
      <c r="G26" s="46">
        <v>820</v>
      </c>
      <c r="H26" s="74">
        <v>5</v>
      </c>
      <c r="I26" s="51">
        <f t="shared" si="0"/>
        <v>1930</v>
      </c>
    </row>
    <row r="27" spans="1:9" ht="21" customHeight="1">
      <c r="A27" s="60"/>
      <c r="B27" s="26" t="s">
        <v>53</v>
      </c>
      <c r="C27" s="93"/>
      <c r="D27" s="61">
        <v>999395680029</v>
      </c>
      <c r="E27" s="30" t="s">
        <v>54</v>
      </c>
      <c r="F27" s="46">
        <v>1009</v>
      </c>
      <c r="G27" s="46">
        <v>771</v>
      </c>
      <c r="H27" s="74">
        <v>1</v>
      </c>
      <c r="I27" s="51">
        <f>F27+G27+H27</f>
        <v>1781</v>
      </c>
    </row>
    <row r="28" spans="1:9" ht="21" customHeight="1">
      <c r="A28" s="60"/>
      <c r="B28" s="26" t="s">
        <v>55</v>
      </c>
      <c r="C28" s="26" t="s">
        <v>294</v>
      </c>
      <c r="D28" s="61">
        <v>999395682858</v>
      </c>
      <c r="E28" s="30" t="s">
        <v>56</v>
      </c>
      <c r="F28" s="46"/>
      <c r="G28" s="46"/>
      <c r="H28" s="74"/>
      <c r="I28" s="51">
        <f t="shared" si="0"/>
        <v>0</v>
      </c>
    </row>
    <row r="29" spans="1:9" ht="21" customHeight="1">
      <c r="A29" s="60"/>
      <c r="B29" s="26" t="s">
        <v>57</v>
      </c>
      <c r="C29" s="26" t="s">
        <v>295</v>
      </c>
      <c r="D29" s="12">
        <v>512095448</v>
      </c>
      <c r="E29" s="30" t="s">
        <v>58</v>
      </c>
      <c r="F29" s="46"/>
      <c r="G29" s="46"/>
      <c r="H29" s="74"/>
      <c r="I29" s="51">
        <f t="shared" si="0"/>
        <v>0</v>
      </c>
    </row>
    <row r="30" spans="1:9" ht="21" customHeight="1">
      <c r="A30" s="60"/>
      <c r="B30" s="26" t="s">
        <v>59</v>
      </c>
      <c r="C30" s="26" t="s">
        <v>296</v>
      </c>
      <c r="D30" s="61">
        <v>999395695033</v>
      </c>
      <c r="E30" s="30" t="s">
        <v>60</v>
      </c>
      <c r="F30" s="46">
        <v>2310.5</v>
      </c>
      <c r="G30" s="46">
        <v>0</v>
      </c>
      <c r="H30" s="74">
        <v>0</v>
      </c>
      <c r="I30" s="51">
        <f t="shared" si="0"/>
        <v>2310.5</v>
      </c>
    </row>
    <row r="31" spans="1:9" ht="21" customHeight="1">
      <c r="A31" s="60"/>
      <c r="B31" s="26" t="s">
        <v>61</v>
      </c>
      <c r="C31" s="26" t="s">
        <v>296</v>
      </c>
      <c r="D31" s="61">
        <v>999395696742</v>
      </c>
      <c r="E31" s="30" t="s">
        <v>62</v>
      </c>
      <c r="F31" s="46">
        <v>4147</v>
      </c>
      <c r="G31" s="46">
        <v>0</v>
      </c>
      <c r="H31" s="46">
        <v>0</v>
      </c>
      <c r="I31" s="51">
        <f t="shared" si="0"/>
        <v>4147</v>
      </c>
    </row>
    <row r="32" spans="1:9" ht="21" customHeight="1">
      <c r="A32" s="60"/>
      <c r="B32" s="26" t="s">
        <v>63</v>
      </c>
      <c r="C32" s="26" t="s">
        <v>308</v>
      </c>
      <c r="D32" s="61">
        <v>999395697615</v>
      </c>
      <c r="E32" s="30" t="s">
        <v>64</v>
      </c>
      <c r="F32" s="46">
        <f>4997/2</f>
        <v>2498.5</v>
      </c>
      <c r="G32" s="46">
        <v>0</v>
      </c>
      <c r="H32" s="74">
        <v>0</v>
      </c>
      <c r="I32" s="51">
        <f t="shared" si="0"/>
        <v>2498.5</v>
      </c>
    </row>
    <row r="33" spans="1:9" ht="21" customHeight="1">
      <c r="A33" s="60"/>
      <c r="B33" s="26" t="s">
        <v>65</v>
      </c>
      <c r="C33" s="26" t="s">
        <v>297</v>
      </c>
      <c r="D33" s="61">
        <v>999395698321</v>
      </c>
      <c r="E33" s="30" t="s">
        <v>66</v>
      </c>
      <c r="F33" s="46">
        <f>5073/2</f>
        <v>2536.5</v>
      </c>
      <c r="G33" s="46">
        <v>0</v>
      </c>
      <c r="H33" s="74">
        <v>0</v>
      </c>
      <c r="I33" s="51">
        <f t="shared" si="0"/>
        <v>2536.5</v>
      </c>
    </row>
    <row r="34" spans="1:9" ht="21" customHeight="1">
      <c r="A34" s="60"/>
      <c r="B34" s="26" t="s">
        <v>67</v>
      </c>
      <c r="C34" s="26" t="s">
        <v>309</v>
      </c>
      <c r="D34" s="62">
        <v>999395698661</v>
      </c>
      <c r="E34" s="31" t="s">
        <v>68</v>
      </c>
      <c r="F34" s="47">
        <f>2066/2</f>
        <v>1033</v>
      </c>
      <c r="G34" s="47">
        <v>0</v>
      </c>
      <c r="H34" s="75">
        <v>0</v>
      </c>
      <c r="I34" s="51">
        <f t="shared" si="0"/>
        <v>1033</v>
      </c>
    </row>
    <row r="35" spans="1:9" s="20" customFormat="1" ht="21" customHeight="1">
      <c r="A35" s="60"/>
      <c r="B35" s="26" t="s">
        <v>69</v>
      </c>
      <c r="C35" s="26"/>
      <c r="D35" s="61">
        <v>999395699042</v>
      </c>
      <c r="E35" s="30" t="s">
        <v>70</v>
      </c>
      <c r="F35" s="46">
        <v>3873</v>
      </c>
      <c r="G35" s="46">
        <v>0</v>
      </c>
      <c r="H35" s="74">
        <v>0</v>
      </c>
      <c r="I35" s="51">
        <f t="shared" si="0"/>
        <v>3873</v>
      </c>
    </row>
    <row r="36" spans="1:9" ht="21" customHeight="1">
      <c r="A36" s="60"/>
      <c r="B36" s="26" t="s">
        <v>71</v>
      </c>
      <c r="C36" s="93"/>
      <c r="D36" s="61">
        <v>999395699192</v>
      </c>
      <c r="E36" s="30" t="s">
        <v>72</v>
      </c>
      <c r="F36" s="47">
        <f>2150/2</f>
        <v>1075</v>
      </c>
      <c r="G36" s="47">
        <v>0</v>
      </c>
      <c r="H36" s="75">
        <v>0</v>
      </c>
      <c r="I36" s="92">
        <f t="shared" si="0"/>
        <v>1075</v>
      </c>
    </row>
    <row r="37" spans="1:9" ht="21" customHeight="1">
      <c r="A37" s="60"/>
      <c r="B37" s="26" t="s">
        <v>73</v>
      </c>
      <c r="C37" s="93"/>
      <c r="D37" s="61">
        <v>999395699382</v>
      </c>
      <c r="E37" s="30" t="s">
        <v>74</v>
      </c>
      <c r="F37" s="46">
        <f>2572/2</f>
        <v>1286</v>
      </c>
      <c r="G37" s="46">
        <v>0</v>
      </c>
      <c r="H37" s="74">
        <v>0</v>
      </c>
      <c r="I37" s="51">
        <f t="shared" si="0"/>
        <v>1286</v>
      </c>
    </row>
    <row r="38" spans="1:9" ht="21" customHeight="1">
      <c r="A38" s="60"/>
      <c r="B38" s="26" t="s">
        <v>75</v>
      </c>
      <c r="C38" s="26" t="s">
        <v>298</v>
      </c>
      <c r="D38" s="61">
        <v>999395699631</v>
      </c>
      <c r="E38" s="30" t="s">
        <v>76</v>
      </c>
      <c r="F38" s="46">
        <f>255/2</f>
        <v>127.5</v>
      </c>
      <c r="G38" s="46">
        <v>0</v>
      </c>
      <c r="H38" s="74">
        <v>0</v>
      </c>
      <c r="I38" s="51">
        <f t="shared" si="0"/>
        <v>127.5</v>
      </c>
    </row>
    <row r="39" spans="1:9" ht="21" customHeight="1">
      <c r="A39" s="60"/>
      <c r="B39" s="26" t="s">
        <v>77</v>
      </c>
      <c r="C39" s="93"/>
      <c r="D39" s="61">
        <v>999395699855</v>
      </c>
      <c r="E39" s="30" t="s">
        <v>78</v>
      </c>
      <c r="F39" s="46">
        <f>1555/2</f>
        <v>777.5</v>
      </c>
      <c r="G39" s="46">
        <v>0</v>
      </c>
      <c r="H39" s="74">
        <v>0</v>
      </c>
      <c r="I39" s="51">
        <f t="shared" si="0"/>
        <v>777.5</v>
      </c>
    </row>
    <row r="40" spans="1:9" ht="21" customHeight="1">
      <c r="A40" s="60"/>
      <c r="B40" s="26" t="s">
        <v>79</v>
      </c>
      <c r="C40" s="26" t="s">
        <v>299</v>
      </c>
      <c r="D40" s="61">
        <v>999395699914</v>
      </c>
      <c r="E40" s="30" t="s">
        <v>80</v>
      </c>
      <c r="F40" s="46">
        <f>3622/2</f>
        <v>1811</v>
      </c>
      <c r="G40" s="46">
        <v>0</v>
      </c>
      <c r="H40" s="74">
        <v>0</v>
      </c>
      <c r="I40" s="51">
        <f t="shared" si="0"/>
        <v>1811</v>
      </c>
    </row>
    <row r="41" spans="1:9" ht="21" customHeight="1">
      <c r="A41" s="60"/>
      <c r="B41" s="26" t="s">
        <v>81</v>
      </c>
      <c r="C41" s="26" t="s">
        <v>329</v>
      </c>
      <c r="D41" s="61">
        <v>999395720675</v>
      </c>
      <c r="E41" s="30" t="s">
        <v>82</v>
      </c>
      <c r="F41" s="46">
        <f>8032/2</f>
        <v>4016</v>
      </c>
      <c r="G41" s="46">
        <v>0</v>
      </c>
      <c r="H41" s="74">
        <v>0</v>
      </c>
      <c r="I41" s="51">
        <f t="shared" si="0"/>
        <v>4016</v>
      </c>
    </row>
    <row r="42" spans="1:9" ht="21" customHeight="1">
      <c r="A42" s="60"/>
      <c r="B42" s="26" t="s">
        <v>83</v>
      </c>
      <c r="C42" s="26" t="s">
        <v>300</v>
      </c>
      <c r="D42" s="61">
        <v>999395721493</v>
      </c>
      <c r="E42" s="30" t="s">
        <v>84</v>
      </c>
      <c r="F42" s="46">
        <f>4571/2</f>
        <v>2285.5</v>
      </c>
      <c r="G42" s="46">
        <v>0</v>
      </c>
      <c r="H42" s="74">
        <v>0</v>
      </c>
      <c r="I42" s="51">
        <f t="shared" si="0"/>
        <v>2285.5</v>
      </c>
    </row>
    <row r="43" spans="1:9" ht="21" customHeight="1">
      <c r="A43" s="60"/>
      <c r="B43" s="26" t="s">
        <v>85</v>
      </c>
      <c r="C43" s="26"/>
      <c r="D43" s="61">
        <v>999395728957</v>
      </c>
      <c r="E43" s="30" t="s">
        <v>86</v>
      </c>
      <c r="F43" s="46">
        <f>621/2</f>
        <v>310.5</v>
      </c>
      <c r="G43" s="46">
        <v>0</v>
      </c>
      <c r="H43" s="74">
        <v>0</v>
      </c>
      <c r="I43" s="51">
        <f t="shared" si="0"/>
        <v>310.5</v>
      </c>
    </row>
    <row r="44" spans="1:9" ht="21" customHeight="1">
      <c r="A44" s="60"/>
      <c r="B44" s="26" t="s">
        <v>87</v>
      </c>
      <c r="C44" s="26" t="s">
        <v>330</v>
      </c>
      <c r="D44" s="61">
        <v>999395729357</v>
      </c>
      <c r="E44" s="30" t="s">
        <v>88</v>
      </c>
      <c r="F44" s="46">
        <f>1536/2</f>
        <v>768</v>
      </c>
      <c r="G44" s="46">
        <v>0</v>
      </c>
      <c r="H44" s="74">
        <v>0</v>
      </c>
      <c r="I44" s="51">
        <f t="shared" si="0"/>
        <v>768</v>
      </c>
    </row>
    <row r="45" spans="1:9" ht="21" customHeight="1">
      <c r="A45" s="60"/>
      <c r="B45" s="26" t="s">
        <v>89</v>
      </c>
      <c r="C45" s="93"/>
      <c r="D45" s="61">
        <v>999395729815</v>
      </c>
      <c r="E45" s="30" t="s">
        <v>90</v>
      </c>
      <c r="F45" s="46">
        <f>1036/2</f>
        <v>518</v>
      </c>
      <c r="G45" s="46">
        <v>0</v>
      </c>
      <c r="H45" s="74">
        <v>0</v>
      </c>
      <c r="I45" s="51">
        <f t="shared" si="0"/>
        <v>518</v>
      </c>
    </row>
    <row r="46" spans="1:9" ht="21" customHeight="1">
      <c r="A46" s="60"/>
      <c r="B46" s="26" t="s">
        <v>94</v>
      </c>
      <c r="C46" s="26" t="s">
        <v>331</v>
      </c>
      <c r="D46" s="61">
        <v>999395730546</v>
      </c>
      <c r="E46" s="30" t="s">
        <v>91</v>
      </c>
      <c r="F46" s="46">
        <f>36/2</f>
        <v>18</v>
      </c>
      <c r="G46" s="46">
        <v>0</v>
      </c>
      <c r="H46" s="74">
        <v>0</v>
      </c>
      <c r="I46" s="51">
        <f t="shared" si="0"/>
        <v>18</v>
      </c>
    </row>
    <row r="47" spans="1:9" ht="21" customHeight="1">
      <c r="A47" s="60"/>
      <c r="B47" s="26" t="s">
        <v>92</v>
      </c>
      <c r="C47" s="26" t="s">
        <v>319</v>
      </c>
      <c r="D47" s="61">
        <v>999395731005</v>
      </c>
      <c r="E47" s="32" t="s">
        <v>93</v>
      </c>
      <c r="F47" s="46">
        <f>1134/2</f>
        <v>567</v>
      </c>
      <c r="G47" s="46">
        <v>0</v>
      </c>
      <c r="H47" s="74">
        <v>0</v>
      </c>
      <c r="I47" s="51">
        <f t="shared" si="0"/>
        <v>567</v>
      </c>
    </row>
    <row r="48" spans="1:9" ht="21" customHeight="1">
      <c r="A48" s="60"/>
      <c r="B48" s="26" t="s">
        <v>95</v>
      </c>
      <c r="C48" s="93"/>
      <c r="D48" s="61">
        <v>999395731797</v>
      </c>
      <c r="E48" s="30" t="s">
        <v>96</v>
      </c>
      <c r="F48" s="46">
        <f>2578/2</f>
        <v>1289</v>
      </c>
      <c r="G48" s="46">
        <v>0</v>
      </c>
      <c r="H48" s="74">
        <v>0</v>
      </c>
      <c r="I48" s="51">
        <f t="shared" si="0"/>
        <v>1289</v>
      </c>
    </row>
    <row r="49" spans="1:9" ht="21" customHeight="1">
      <c r="A49" s="60"/>
      <c r="B49" s="26" t="s">
        <v>97</v>
      </c>
      <c r="C49" s="26"/>
      <c r="D49" s="61">
        <v>999395850272</v>
      </c>
      <c r="E49" s="30" t="s">
        <v>98</v>
      </c>
      <c r="F49" s="46">
        <v>2612</v>
      </c>
      <c r="G49" s="46">
        <v>1455</v>
      </c>
      <c r="H49" s="74">
        <v>3808</v>
      </c>
      <c r="I49" s="51">
        <f t="shared" si="0"/>
        <v>7875</v>
      </c>
    </row>
    <row r="50" spans="1:9" ht="21" customHeight="1">
      <c r="A50" s="60"/>
      <c r="B50" s="26" t="s">
        <v>99</v>
      </c>
      <c r="C50" s="93"/>
      <c r="D50" s="61">
        <v>999395869847</v>
      </c>
      <c r="E50" s="30" t="s">
        <v>100</v>
      </c>
      <c r="F50" s="46">
        <v>1378</v>
      </c>
      <c r="G50" s="46">
        <v>2903</v>
      </c>
      <c r="H50" s="74">
        <v>0</v>
      </c>
      <c r="I50" s="51">
        <f t="shared" si="0"/>
        <v>4281</v>
      </c>
    </row>
    <row r="51" spans="1:9" ht="21" customHeight="1">
      <c r="A51" s="60"/>
      <c r="B51" s="26" t="s">
        <v>101</v>
      </c>
      <c r="C51" s="26" t="s">
        <v>371</v>
      </c>
      <c r="D51" s="12">
        <v>83007836944</v>
      </c>
      <c r="E51" s="30" t="s">
        <v>102</v>
      </c>
      <c r="F51" s="46">
        <f>820/2</f>
        <v>410</v>
      </c>
      <c r="G51" s="46">
        <v>0</v>
      </c>
      <c r="H51" s="74">
        <v>0</v>
      </c>
      <c r="I51" s="51">
        <f t="shared" si="0"/>
        <v>410</v>
      </c>
    </row>
    <row r="52" spans="1:9" ht="21" customHeight="1">
      <c r="A52" s="60"/>
      <c r="B52" s="26" t="s">
        <v>103</v>
      </c>
      <c r="C52" s="26" t="s">
        <v>286</v>
      </c>
      <c r="D52" s="61">
        <v>999418107083</v>
      </c>
      <c r="E52" s="30" t="s">
        <v>104</v>
      </c>
      <c r="F52" s="46">
        <f>13329/2</f>
        <v>6664.5</v>
      </c>
      <c r="G52" s="46">
        <v>0</v>
      </c>
      <c r="H52" s="74">
        <v>0</v>
      </c>
      <c r="I52" s="51">
        <f t="shared" si="0"/>
        <v>6664.5</v>
      </c>
    </row>
    <row r="53" spans="1:9" ht="21" customHeight="1">
      <c r="A53" s="60"/>
      <c r="B53" s="26" t="s">
        <v>105</v>
      </c>
      <c r="C53" s="26" t="s">
        <v>332</v>
      </c>
      <c r="D53" s="61">
        <v>999418108530</v>
      </c>
      <c r="E53" s="30" t="s">
        <v>106</v>
      </c>
      <c r="F53" s="46">
        <v>560</v>
      </c>
      <c r="G53" s="46">
        <v>920</v>
      </c>
      <c r="H53" s="74">
        <v>291</v>
      </c>
      <c r="I53" s="51">
        <f t="shared" si="0"/>
        <v>1771</v>
      </c>
    </row>
    <row r="54" spans="1:9" ht="21" customHeight="1">
      <c r="A54" s="60"/>
      <c r="B54" s="26" t="s">
        <v>107</v>
      </c>
      <c r="C54" s="26" t="s">
        <v>302</v>
      </c>
      <c r="D54" s="61">
        <v>999444028261</v>
      </c>
      <c r="E54" s="30" t="s">
        <v>108</v>
      </c>
      <c r="F54" s="46">
        <v>20</v>
      </c>
      <c r="G54" s="46">
        <v>62</v>
      </c>
      <c r="H54" s="74">
        <v>44</v>
      </c>
      <c r="I54" s="51">
        <f t="shared" si="0"/>
        <v>126</v>
      </c>
    </row>
    <row r="55" spans="1:9" ht="21" customHeight="1">
      <c r="A55" s="60"/>
      <c r="B55" s="26" t="s">
        <v>109</v>
      </c>
      <c r="C55" s="26" t="s">
        <v>313</v>
      </c>
      <c r="D55" s="12">
        <v>83000769293</v>
      </c>
      <c r="E55" s="30" t="s">
        <v>110</v>
      </c>
      <c r="F55" s="46">
        <v>682</v>
      </c>
      <c r="G55" s="46">
        <v>869</v>
      </c>
      <c r="H55" s="74">
        <v>172</v>
      </c>
      <c r="I55" s="51">
        <f t="shared" si="0"/>
        <v>1723</v>
      </c>
    </row>
    <row r="56" spans="1:9" s="19" customFormat="1" ht="21" customHeight="1">
      <c r="A56" s="60"/>
      <c r="B56" s="35" t="s">
        <v>125</v>
      </c>
      <c r="C56" s="94"/>
      <c r="D56" s="36">
        <v>60006203645</v>
      </c>
      <c r="E56" s="37" t="s">
        <v>126</v>
      </c>
      <c r="F56" s="46">
        <v>129</v>
      </c>
      <c r="G56" s="46">
        <v>0</v>
      </c>
      <c r="H56" s="48">
        <v>0</v>
      </c>
      <c r="I56" s="51">
        <f t="shared" si="0"/>
        <v>129</v>
      </c>
    </row>
    <row r="57" spans="1:9" s="29" customFormat="1" ht="21" customHeight="1">
      <c r="A57" s="60"/>
      <c r="B57" s="26" t="s">
        <v>127</v>
      </c>
      <c r="C57" s="93"/>
      <c r="D57" s="12">
        <v>60007966411</v>
      </c>
      <c r="E57" s="30" t="s">
        <v>128</v>
      </c>
      <c r="F57" s="46">
        <v>392</v>
      </c>
      <c r="G57" s="46">
        <v>0</v>
      </c>
      <c r="H57" s="74">
        <v>0</v>
      </c>
      <c r="I57" s="51">
        <f t="shared" si="0"/>
        <v>392</v>
      </c>
    </row>
    <row r="58" spans="1:9" ht="21" customHeight="1">
      <c r="A58" s="60"/>
      <c r="B58" s="26" t="s">
        <v>129</v>
      </c>
      <c r="C58" s="26" t="s">
        <v>289</v>
      </c>
      <c r="D58" s="12">
        <v>60006643135</v>
      </c>
      <c r="E58" s="30" t="s">
        <v>130</v>
      </c>
      <c r="F58" s="46">
        <f>694/2</f>
        <v>347</v>
      </c>
      <c r="G58" s="46">
        <v>0</v>
      </c>
      <c r="H58" s="74">
        <v>0</v>
      </c>
      <c r="I58" s="51">
        <f t="shared" si="0"/>
        <v>347</v>
      </c>
    </row>
    <row r="59" spans="1:9" ht="21" customHeight="1">
      <c r="A59" s="60"/>
      <c r="B59" s="26" t="s">
        <v>131</v>
      </c>
      <c r="C59" s="93"/>
      <c r="D59" s="12">
        <v>60007843244</v>
      </c>
      <c r="E59" s="30" t="s">
        <v>132</v>
      </c>
      <c r="F59" s="46">
        <v>541</v>
      </c>
      <c r="G59" s="46">
        <v>0</v>
      </c>
      <c r="H59" s="74">
        <v>0</v>
      </c>
      <c r="I59" s="51">
        <f t="shared" si="0"/>
        <v>541</v>
      </c>
    </row>
    <row r="60" spans="1:9" ht="21" customHeight="1">
      <c r="A60" s="60"/>
      <c r="B60" s="26" t="s">
        <v>133</v>
      </c>
      <c r="C60" s="26" t="s">
        <v>322</v>
      </c>
      <c r="D60" s="12">
        <v>60007843069</v>
      </c>
      <c r="E60" s="30" t="s">
        <v>134</v>
      </c>
      <c r="F60" s="46">
        <f>738/2</f>
        <v>369</v>
      </c>
      <c r="G60" s="46">
        <v>0</v>
      </c>
      <c r="H60" s="74">
        <v>0</v>
      </c>
      <c r="I60" s="51">
        <f aca="true" t="shared" si="1" ref="I60:I120">F60+G60+H60</f>
        <v>369</v>
      </c>
    </row>
    <row r="61" spans="1:9" ht="21" customHeight="1">
      <c r="A61" s="60"/>
      <c r="B61" s="26" t="s">
        <v>135</v>
      </c>
      <c r="C61" s="26" t="s">
        <v>353</v>
      </c>
      <c r="D61" s="12">
        <v>60007843073</v>
      </c>
      <c r="E61" s="30" t="s">
        <v>136</v>
      </c>
      <c r="F61" s="46">
        <f>605/2</f>
        <v>302.5</v>
      </c>
      <c r="G61" s="46">
        <v>0</v>
      </c>
      <c r="H61" s="74">
        <v>0</v>
      </c>
      <c r="I61" s="51">
        <f t="shared" si="1"/>
        <v>302.5</v>
      </c>
    </row>
    <row r="62" spans="1:9" ht="21" customHeight="1">
      <c r="A62" s="60"/>
      <c r="B62" s="26" t="s">
        <v>137</v>
      </c>
      <c r="C62" s="93"/>
      <c r="D62" s="12">
        <v>60007843356</v>
      </c>
      <c r="E62" s="30" t="s">
        <v>138</v>
      </c>
      <c r="F62" s="46">
        <f>247/2</f>
        <v>123.5</v>
      </c>
      <c r="G62" s="46">
        <v>0</v>
      </c>
      <c r="H62" s="74">
        <v>0</v>
      </c>
      <c r="I62" s="51">
        <f t="shared" si="1"/>
        <v>123.5</v>
      </c>
    </row>
    <row r="63" spans="1:9" ht="21" customHeight="1">
      <c r="A63" s="60"/>
      <c r="B63" s="26" t="s">
        <v>139</v>
      </c>
      <c r="C63" s="93"/>
      <c r="D63" s="12">
        <v>60007847274</v>
      </c>
      <c r="E63" s="30" t="s">
        <v>140</v>
      </c>
      <c r="F63" s="46">
        <f>306/2</f>
        <v>153</v>
      </c>
      <c r="G63" s="46">
        <v>0</v>
      </c>
      <c r="H63" s="74">
        <v>0</v>
      </c>
      <c r="I63" s="51">
        <f t="shared" si="1"/>
        <v>153</v>
      </c>
    </row>
    <row r="64" spans="1:9" ht="21" customHeight="1">
      <c r="A64" s="60"/>
      <c r="B64" s="26" t="s">
        <v>141</v>
      </c>
      <c r="C64" s="93"/>
      <c r="D64" s="12">
        <v>60007847482</v>
      </c>
      <c r="E64" s="30" t="s">
        <v>142</v>
      </c>
      <c r="F64" s="46">
        <v>351</v>
      </c>
      <c r="G64" s="46">
        <v>0</v>
      </c>
      <c r="H64" s="74">
        <v>0</v>
      </c>
      <c r="I64" s="51">
        <f t="shared" si="1"/>
        <v>351</v>
      </c>
    </row>
    <row r="65" spans="1:9" ht="21" customHeight="1">
      <c r="A65" s="60"/>
      <c r="B65" s="26" t="s">
        <v>143</v>
      </c>
      <c r="C65" s="26" t="s">
        <v>323</v>
      </c>
      <c r="D65" s="12">
        <v>60007858040</v>
      </c>
      <c r="E65" s="78" t="s">
        <v>144</v>
      </c>
      <c r="F65" s="46">
        <v>67</v>
      </c>
      <c r="G65" s="46">
        <v>0</v>
      </c>
      <c r="H65" s="74">
        <v>0</v>
      </c>
      <c r="I65" s="51">
        <f t="shared" si="1"/>
        <v>67</v>
      </c>
    </row>
    <row r="66" spans="1:9" ht="21" customHeight="1">
      <c r="A66" s="60"/>
      <c r="B66" s="43" t="s">
        <v>145</v>
      </c>
      <c r="C66" s="43" t="s">
        <v>358</v>
      </c>
      <c r="D66" s="44">
        <v>60007889355</v>
      </c>
      <c r="E66" s="37" t="s">
        <v>146</v>
      </c>
      <c r="F66" s="46">
        <f>263/2</f>
        <v>131.5</v>
      </c>
      <c r="G66" s="46">
        <v>0</v>
      </c>
      <c r="H66" s="74">
        <v>0</v>
      </c>
      <c r="I66" s="51">
        <f t="shared" si="1"/>
        <v>131.5</v>
      </c>
    </row>
    <row r="67" spans="1:9" ht="21" customHeight="1">
      <c r="A67" s="60"/>
      <c r="B67" s="41" t="s">
        <v>147</v>
      </c>
      <c r="C67" s="41" t="s">
        <v>311</v>
      </c>
      <c r="D67" s="40">
        <v>60007899611</v>
      </c>
      <c r="E67" s="42" t="s">
        <v>148</v>
      </c>
      <c r="F67" s="47">
        <v>842</v>
      </c>
      <c r="G67" s="47">
        <v>0</v>
      </c>
      <c r="H67" s="75">
        <v>0</v>
      </c>
      <c r="I67" s="51">
        <f t="shared" si="1"/>
        <v>842</v>
      </c>
    </row>
    <row r="68" spans="1:9" ht="21" customHeight="1">
      <c r="A68" s="60"/>
      <c r="B68" s="26" t="s">
        <v>149</v>
      </c>
      <c r="C68" s="93"/>
      <c r="D68" s="12">
        <v>60008073286</v>
      </c>
      <c r="E68" s="30" t="s">
        <v>150</v>
      </c>
      <c r="F68" s="46">
        <f>18/2</f>
        <v>9</v>
      </c>
      <c r="G68" s="46">
        <v>0</v>
      </c>
      <c r="H68" s="74">
        <v>0</v>
      </c>
      <c r="I68" s="51">
        <f t="shared" si="1"/>
        <v>9</v>
      </c>
    </row>
    <row r="69" spans="1:9" s="29" customFormat="1" ht="21" customHeight="1">
      <c r="A69" s="60"/>
      <c r="B69" s="26" t="s">
        <v>151</v>
      </c>
      <c r="C69" s="26"/>
      <c r="D69" s="12">
        <v>60008101006</v>
      </c>
      <c r="E69" s="30" t="s">
        <v>152</v>
      </c>
      <c r="F69" s="46">
        <v>7</v>
      </c>
      <c r="G69" s="46">
        <v>0</v>
      </c>
      <c r="H69" s="74">
        <v>0</v>
      </c>
      <c r="I69" s="51">
        <f t="shared" si="1"/>
        <v>7</v>
      </c>
    </row>
    <row r="70" spans="1:9" s="29" customFormat="1" ht="21" customHeight="1">
      <c r="A70" s="60"/>
      <c r="B70" s="26" t="s">
        <v>153</v>
      </c>
      <c r="C70" s="26" t="s">
        <v>359</v>
      </c>
      <c r="D70" s="12">
        <v>60008115357</v>
      </c>
      <c r="E70" s="30" t="s">
        <v>154</v>
      </c>
      <c r="F70" s="46">
        <v>273</v>
      </c>
      <c r="G70" s="46">
        <v>0</v>
      </c>
      <c r="H70" s="74">
        <v>0</v>
      </c>
      <c r="I70" s="51">
        <f t="shared" si="1"/>
        <v>273</v>
      </c>
    </row>
    <row r="71" spans="1:9" s="20" customFormat="1" ht="21" customHeight="1">
      <c r="A71" s="60"/>
      <c r="B71" s="26" t="s">
        <v>155</v>
      </c>
      <c r="C71" s="26" t="s">
        <v>312</v>
      </c>
      <c r="D71" s="12">
        <v>60008450632</v>
      </c>
      <c r="E71" s="30" t="s">
        <v>156</v>
      </c>
      <c r="F71" s="46">
        <v>44</v>
      </c>
      <c r="G71" s="46">
        <v>0</v>
      </c>
      <c r="H71" s="74">
        <v>0</v>
      </c>
      <c r="I71" s="51">
        <f t="shared" si="1"/>
        <v>44</v>
      </c>
    </row>
    <row r="72" spans="1:9" ht="21" customHeight="1">
      <c r="A72" s="60"/>
      <c r="B72" s="26" t="s">
        <v>157</v>
      </c>
      <c r="C72" s="26" t="s">
        <v>360</v>
      </c>
      <c r="D72" s="12">
        <v>60008427213</v>
      </c>
      <c r="E72" s="30" t="s">
        <v>158</v>
      </c>
      <c r="F72" s="46">
        <v>112</v>
      </c>
      <c r="G72" s="46">
        <v>0</v>
      </c>
      <c r="H72" s="74">
        <v>0</v>
      </c>
      <c r="I72" s="51">
        <f t="shared" si="1"/>
        <v>112</v>
      </c>
    </row>
    <row r="73" spans="1:9" ht="21" customHeight="1">
      <c r="A73" s="60"/>
      <c r="B73" s="26" t="s">
        <v>159</v>
      </c>
      <c r="C73" s="26" t="s">
        <v>361</v>
      </c>
      <c r="D73" s="12">
        <v>60008475541</v>
      </c>
      <c r="E73" s="30" t="s">
        <v>160</v>
      </c>
      <c r="F73" s="46">
        <f>927/2</f>
        <v>463.5</v>
      </c>
      <c r="G73" s="46">
        <v>0</v>
      </c>
      <c r="H73" s="74">
        <v>0</v>
      </c>
      <c r="I73" s="51">
        <f t="shared" si="1"/>
        <v>463.5</v>
      </c>
    </row>
    <row r="74" spans="1:9" ht="21" customHeight="1">
      <c r="A74" s="60"/>
      <c r="B74" s="26" t="s">
        <v>161</v>
      </c>
      <c r="C74" s="93"/>
      <c r="D74" s="12">
        <v>60008368817</v>
      </c>
      <c r="E74" s="30" t="s">
        <v>162</v>
      </c>
      <c r="F74" s="46">
        <v>129</v>
      </c>
      <c r="G74" s="46">
        <v>0</v>
      </c>
      <c r="H74" s="74">
        <v>0</v>
      </c>
      <c r="I74" s="51">
        <f t="shared" si="1"/>
        <v>129</v>
      </c>
    </row>
    <row r="75" spans="1:9" ht="21" customHeight="1">
      <c r="A75" s="60"/>
      <c r="B75" s="26" t="s">
        <v>163</v>
      </c>
      <c r="C75" s="26" t="s">
        <v>372</v>
      </c>
      <c r="D75" s="12">
        <v>60091069643</v>
      </c>
      <c r="E75" s="30" t="s">
        <v>164</v>
      </c>
      <c r="F75" s="46">
        <v>0</v>
      </c>
      <c r="G75" s="46">
        <v>0</v>
      </c>
      <c r="H75" s="74">
        <v>0</v>
      </c>
      <c r="I75" s="51">
        <f t="shared" si="1"/>
        <v>0</v>
      </c>
    </row>
    <row r="76" spans="1:9" ht="21" customHeight="1">
      <c r="A76" s="60"/>
      <c r="B76" s="26" t="s">
        <v>165</v>
      </c>
      <c r="C76" s="26" t="s">
        <v>363</v>
      </c>
      <c r="D76" s="12">
        <v>60089709450</v>
      </c>
      <c r="E76" s="30" t="s">
        <v>166</v>
      </c>
      <c r="F76" s="46">
        <v>97</v>
      </c>
      <c r="G76" s="46">
        <v>0</v>
      </c>
      <c r="H76" s="74">
        <v>0</v>
      </c>
      <c r="I76" s="51">
        <f t="shared" si="1"/>
        <v>97</v>
      </c>
    </row>
    <row r="77" spans="1:9" ht="21" customHeight="1">
      <c r="A77" s="60"/>
      <c r="B77" s="26" t="s">
        <v>167</v>
      </c>
      <c r="C77" s="26" t="s">
        <v>362</v>
      </c>
      <c r="D77" s="12">
        <v>60089553056</v>
      </c>
      <c r="E77" s="30" t="s">
        <v>168</v>
      </c>
      <c r="F77" s="46">
        <f>3946/2</f>
        <v>1973</v>
      </c>
      <c r="G77" s="46">
        <v>0</v>
      </c>
      <c r="H77" s="74">
        <v>0</v>
      </c>
      <c r="I77" s="51">
        <f t="shared" si="1"/>
        <v>1973</v>
      </c>
    </row>
    <row r="78" spans="1:9" ht="21" customHeight="1">
      <c r="A78" s="60"/>
      <c r="B78" s="26" t="s">
        <v>169</v>
      </c>
      <c r="C78" s="26" t="s">
        <v>364</v>
      </c>
      <c r="D78" s="17">
        <v>60090692774</v>
      </c>
      <c r="E78" s="31" t="s">
        <v>170</v>
      </c>
      <c r="F78" s="46">
        <v>6</v>
      </c>
      <c r="G78" s="46">
        <v>0</v>
      </c>
      <c r="H78" s="74">
        <v>0</v>
      </c>
      <c r="I78" s="51">
        <f t="shared" si="1"/>
        <v>6</v>
      </c>
    </row>
    <row r="79" spans="1:9" ht="21" customHeight="1">
      <c r="A79" s="60"/>
      <c r="B79" s="26" t="s">
        <v>171</v>
      </c>
      <c r="C79" s="93"/>
      <c r="D79" s="12">
        <v>60006579681</v>
      </c>
      <c r="E79" s="30" t="s">
        <v>172</v>
      </c>
      <c r="F79" s="46">
        <v>43</v>
      </c>
      <c r="G79" s="46">
        <v>0</v>
      </c>
      <c r="H79" s="74">
        <v>0</v>
      </c>
      <c r="I79" s="51">
        <f t="shared" si="1"/>
        <v>43</v>
      </c>
    </row>
    <row r="80" spans="1:9" ht="21" customHeight="1">
      <c r="A80" s="60"/>
      <c r="B80" s="26" t="s">
        <v>173</v>
      </c>
      <c r="C80" s="26" t="s">
        <v>333</v>
      </c>
      <c r="D80" s="12">
        <v>60006586696</v>
      </c>
      <c r="E80" s="30" t="s">
        <v>174</v>
      </c>
      <c r="F80" s="46">
        <f>1795/2</f>
        <v>897.5</v>
      </c>
      <c r="G80" s="46">
        <v>0</v>
      </c>
      <c r="H80" s="74">
        <v>0</v>
      </c>
      <c r="I80" s="51">
        <f t="shared" si="1"/>
        <v>897.5</v>
      </c>
    </row>
    <row r="81" spans="1:9" s="29" customFormat="1" ht="21" customHeight="1">
      <c r="A81" s="60"/>
      <c r="B81" s="26" t="s">
        <v>175</v>
      </c>
      <c r="C81" s="93"/>
      <c r="D81" s="17">
        <v>60006586704</v>
      </c>
      <c r="E81" s="31" t="s">
        <v>176</v>
      </c>
      <c r="F81" s="46">
        <f>151/2</f>
        <v>75.5</v>
      </c>
      <c r="G81" s="46">
        <v>0</v>
      </c>
      <c r="H81" s="74">
        <v>0</v>
      </c>
      <c r="I81" s="51">
        <f t="shared" si="1"/>
        <v>75.5</v>
      </c>
    </row>
    <row r="82" spans="1:9" ht="21" customHeight="1">
      <c r="A82" s="60"/>
      <c r="B82" s="26" t="s">
        <v>177</v>
      </c>
      <c r="C82" s="26" t="s">
        <v>370</v>
      </c>
      <c r="D82" s="12">
        <v>60006587652</v>
      </c>
      <c r="E82" s="33" t="s">
        <v>178</v>
      </c>
      <c r="F82" s="47">
        <f>995/2</f>
        <v>497.5</v>
      </c>
      <c r="G82" s="47">
        <v>0</v>
      </c>
      <c r="H82" s="75">
        <v>0</v>
      </c>
      <c r="I82" s="51">
        <f t="shared" si="1"/>
        <v>497.5</v>
      </c>
    </row>
    <row r="83" spans="1:9" s="20" customFormat="1" ht="21" customHeight="1">
      <c r="A83" s="60"/>
      <c r="B83" s="26" t="s">
        <v>179</v>
      </c>
      <c r="C83" s="26" t="s">
        <v>334</v>
      </c>
      <c r="D83" s="12">
        <v>60006587671</v>
      </c>
      <c r="E83" s="30" t="s">
        <v>180</v>
      </c>
      <c r="F83" s="49">
        <f>832/2</f>
        <v>416</v>
      </c>
      <c r="G83" s="49">
        <v>0</v>
      </c>
      <c r="H83" s="76">
        <v>0</v>
      </c>
      <c r="I83" s="51">
        <f t="shared" si="1"/>
        <v>416</v>
      </c>
    </row>
    <row r="84" spans="1:9" ht="21" customHeight="1">
      <c r="A84" s="60"/>
      <c r="B84" s="26" t="s">
        <v>181</v>
      </c>
      <c r="C84" s="26" t="s">
        <v>335</v>
      </c>
      <c r="D84" s="12">
        <v>60006593566</v>
      </c>
      <c r="E84" s="30" t="s">
        <v>182</v>
      </c>
      <c r="F84" s="46">
        <f>639/2</f>
        <v>319.5</v>
      </c>
      <c r="G84" s="46">
        <v>0</v>
      </c>
      <c r="H84" s="74">
        <v>0</v>
      </c>
      <c r="I84" s="51">
        <f t="shared" si="1"/>
        <v>319.5</v>
      </c>
    </row>
    <row r="85" spans="1:9" ht="21" customHeight="1">
      <c r="A85" s="60"/>
      <c r="B85" s="26" t="s">
        <v>183</v>
      </c>
      <c r="C85" s="26" t="s">
        <v>336</v>
      </c>
      <c r="D85" s="12">
        <v>60006601563</v>
      </c>
      <c r="E85" s="30" t="s">
        <v>184</v>
      </c>
      <c r="F85" s="46">
        <f>933/2</f>
        <v>466.5</v>
      </c>
      <c r="G85" s="46">
        <v>0</v>
      </c>
      <c r="H85" s="74">
        <v>0</v>
      </c>
      <c r="I85" s="51">
        <f t="shared" si="1"/>
        <v>466.5</v>
      </c>
    </row>
    <row r="86" spans="1:9" ht="21" customHeight="1">
      <c r="A86" s="60"/>
      <c r="B86" s="26" t="s">
        <v>185</v>
      </c>
      <c r="C86" s="26" t="s">
        <v>310</v>
      </c>
      <c r="D86" s="12">
        <v>60006630551</v>
      </c>
      <c r="E86" s="30" t="s">
        <v>186</v>
      </c>
      <c r="F86" s="46">
        <f>1152/2</f>
        <v>576</v>
      </c>
      <c r="G86" s="46">
        <v>0</v>
      </c>
      <c r="H86" s="74">
        <v>0</v>
      </c>
      <c r="I86" s="51">
        <f t="shared" si="1"/>
        <v>576</v>
      </c>
    </row>
    <row r="87" spans="1:9" s="20" customFormat="1" ht="21" customHeight="1">
      <c r="A87" s="60"/>
      <c r="B87" s="26" t="s">
        <v>187</v>
      </c>
      <c r="C87" s="26" t="s">
        <v>287</v>
      </c>
      <c r="D87" s="12">
        <v>60006631759</v>
      </c>
      <c r="E87" s="30" t="s">
        <v>188</v>
      </c>
      <c r="F87" s="46">
        <f>594/2</f>
        <v>297</v>
      </c>
      <c r="G87" s="46">
        <v>0</v>
      </c>
      <c r="H87" s="74">
        <v>0</v>
      </c>
      <c r="I87" s="51">
        <f t="shared" si="1"/>
        <v>297</v>
      </c>
    </row>
    <row r="88" spans="1:9" s="29" customFormat="1" ht="21" customHeight="1">
      <c r="A88" s="60"/>
      <c r="B88" s="26" t="s">
        <v>189</v>
      </c>
      <c r="C88" s="26" t="s">
        <v>339</v>
      </c>
      <c r="D88" s="12">
        <v>60006631974</v>
      </c>
      <c r="E88" s="30" t="s">
        <v>190</v>
      </c>
      <c r="F88" s="46">
        <v>1788</v>
      </c>
      <c r="G88" s="46">
        <v>0</v>
      </c>
      <c r="H88" s="74">
        <v>0</v>
      </c>
      <c r="I88" s="51">
        <f t="shared" si="1"/>
        <v>1788</v>
      </c>
    </row>
    <row r="89" spans="1:9" ht="21" customHeight="1">
      <c r="A89" s="60"/>
      <c r="B89" s="26" t="s">
        <v>191</v>
      </c>
      <c r="C89" s="26" t="s">
        <v>356</v>
      </c>
      <c r="D89" s="12">
        <v>60007843337</v>
      </c>
      <c r="E89" s="30" t="s">
        <v>192</v>
      </c>
      <c r="F89" s="46">
        <f>1213/2</f>
        <v>606.5</v>
      </c>
      <c r="G89" s="46">
        <v>0</v>
      </c>
      <c r="H89" s="74">
        <v>0</v>
      </c>
      <c r="I89" s="51">
        <f t="shared" si="1"/>
        <v>606.5</v>
      </c>
    </row>
    <row r="90" spans="1:9" ht="21" customHeight="1">
      <c r="A90" s="60"/>
      <c r="B90" s="26" t="s">
        <v>193</v>
      </c>
      <c r="C90" s="26" t="s">
        <v>305</v>
      </c>
      <c r="D90" s="12">
        <v>60006631992</v>
      </c>
      <c r="E90" s="30" t="s">
        <v>194</v>
      </c>
      <c r="F90" s="46">
        <v>1643</v>
      </c>
      <c r="G90" s="46">
        <v>0</v>
      </c>
      <c r="H90" s="74">
        <v>0</v>
      </c>
      <c r="I90" s="51">
        <f t="shared" si="1"/>
        <v>1643</v>
      </c>
    </row>
    <row r="91" spans="1:9" ht="21" customHeight="1">
      <c r="A91" s="60"/>
      <c r="B91" s="26" t="s">
        <v>195</v>
      </c>
      <c r="C91" s="26" t="s">
        <v>341</v>
      </c>
      <c r="D91" s="12">
        <v>60006632013</v>
      </c>
      <c r="E91" s="30" t="s">
        <v>196</v>
      </c>
      <c r="F91" s="46">
        <f>210/2</f>
        <v>105</v>
      </c>
      <c r="G91" s="46">
        <v>0</v>
      </c>
      <c r="H91" s="74">
        <v>0</v>
      </c>
      <c r="I91" s="51">
        <f t="shared" si="1"/>
        <v>105</v>
      </c>
    </row>
    <row r="92" spans="1:9" ht="21" customHeight="1">
      <c r="A92" s="60"/>
      <c r="B92" s="26" t="s">
        <v>197</v>
      </c>
      <c r="C92" s="26" t="s">
        <v>288</v>
      </c>
      <c r="D92" s="12">
        <v>60006632028</v>
      </c>
      <c r="E92" s="30" t="s">
        <v>198</v>
      </c>
      <c r="F92" s="46">
        <f>4373/2</f>
        <v>2186.5</v>
      </c>
      <c r="G92" s="46">
        <v>0</v>
      </c>
      <c r="H92" s="74">
        <v>0</v>
      </c>
      <c r="I92" s="51">
        <f t="shared" si="1"/>
        <v>2186.5</v>
      </c>
    </row>
    <row r="93" spans="1:10" ht="21" customHeight="1">
      <c r="A93" s="60"/>
      <c r="B93" s="26" t="s">
        <v>199</v>
      </c>
      <c r="C93" s="26" t="s">
        <v>342</v>
      </c>
      <c r="D93" s="12">
        <v>60006632034</v>
      </c>
      <c r="E93" s="30" t="s">
        <v>200</v>
      </c>
      <c r="F93" s="46">
        <v>149</v>
      </c>
      <c r="G93" s="46">
        <v>0</v>
      </c>
      <c r="H93" s="74">
        <v>0</v>
      </c>
      <c r="I93" s="51">
        <f t="shared" si="1"/>
        <v>149</v>
      </c>
      <c r="J93" s="21"/>
    </row>
    <row r="94" spans="1:9" ht="21" customHeight="1">
      <c r="A94" s="60"/>
      <c r="B94" s="26" t="s">
        <v>201</v>
      </c>
      <c r="C94" s="26" t="s">
        <v>343</v>
      </c>
      <c r="D94" s="12">
        <v>60006637176</v>
      </c>
      <c r="E94" s="30" t="s">
        <v>202</v>
      </c>
      <c r="F94" s="46">
        <f>586/3</f>
        <v>195.33333333333334</v>
      </c>
      <c r="G94" s="46">
        <v>0</v>
      </c>
      <c r="H94" s="74">
        <v>0</v>
      </c>
      <c r="I94" s="51">
        <f t="shared" si="1"/>
        <v>195.33333333333334</v>
      </c>
    </row>
    <row r="95" spans="1:9" ht="21" customHeight="1">
      <c r="A95" s="60"/>
      <c r="B95" s="26" t="s">
        <v>203</v>
      </c>
      <c r="C95" s="93"/>
      <c r="D95" s="12">
        <v>60006637235</v>
      </c>
      <c r="E95" s="30" t="s">
        <v>204</v>
      </c>
      <c r="F95" s="46">
        <f>151/2</f>
        <v>75.5</v>
      </c>
      <c r="G95" s="46">
        <v>0</v>
      </c>
      <c r="H95" s="74">
        <v>0</v>
      </c>
      <c r="I95" s="51">
        <f t="shared" si="1"/>
        <v>75.5</v>
      </c>
    </row>
    <row r="96" spans="1:9" ht="21" customHeight="1">
      <c r="A96" s="60"/>
      <c r="B96" s="26" t="s">
        <v>205</v>
      </c>
      <c r="C96" s="26" t="s">
        <v>306</v>
      </c>
      <c r="D96" s="12">
        <v>60006637714</v>
      </c>
      <c r="E96" s="30" t="s">
        <v>206</v>
      </c>
      <c r="F96" s="46">
        <f>246/2</f>
        <v>123</v>
      </c>
      <c r="G96" s="46">
        <v>0</v>
      </c>
      <c r="H96" s="74">
        <v>0</v>
      </c>
      <c r="I96" s="51">
        <f t="shared" si="1"/>
        <v>123</v>
      </c>
    </row>
    <row r="97" spans="1:9" ht="21" customHeight="1">
      <c r="A97" s="60"/>
      <c r="B97" s="26" t="s">
        <v>207</v>
      </c>
      <c r="C97" s="93"/>
      <c r="D97" s="12">
        <v>60006642108</v>
      </c>
      <c r="E97" s="30" t="s">
        <v>208</v>
      </c>
      <c r="F97" s="46">
        <f>151/2</f>
        <v>75.5</v>
      </c>
      <c r="G97" s="46">
        <v>0</v>
      </c>
      <c r="H97" s="74">
        <v>0</v>
      </c>
      <c r="I97" s="51">
        <f t="shared" si="1"/>
        <v>75.5</v>
      </c>
    </row>
    <row r="98" spans="1:9" ht="21" customHeight="1">
      <c r="A98" s="60"/>
      <c r="B98" s="26" t="s">
        <v>209</v>
      </c>
      <c r="C98" s="93"/>
      <c r="D98" s="12">
        <v>60006642114</v>
      </c>
      <c r="E98" s="30" t="s">
        <v>210</v>
      </c>
      <c r="F98" s="46">
        <f>151/2</f>
        <v>75.5</v>
      </c>
      <c r="G98" s="46">
        <v>0</v>
      </c>
      <c r="H98" s="74">
        <v>0</v>
      </c>
      <c r="I98" s="51">
        <f t="shared" si="1"/>
        <v>75.5</v>
      </c>
    </row>
    <row r="99" spans="1:9" ht="21" customHeight="1">
      <c r="A99" s="60"/>
      <c r="B99" s="26" t="s">
        <v>211</v>
      </c>
      <c r="C99" s="26" t="s">
        <v>290</v>
      </c>
      <c r="D99" s="12">
        <v>60006644426</v>
      </c>
      <c r="E99" s="30" t="s">
        <v>212</v>
      </c>
      <c r="F99" s="46">
        <v>381</v>
      </c>
      <c r="G99" s="46">
        <v>0</v>
      </c>
      <c r="H99" s="74">
        <v>0</v>
      </c>
      <c r="I99" s="51">
        <f t="shared" si="1"/>
        <v>381</v>
      </c>
    </row>
    <row r="100" spans="1:9" ht="21" customHeight="1">
      <c r="A100" s="60"/>
      <c r="B100" s="26" t="s">
        <v>213</v>
      </c>
      <c r="C100" s="93"/>
      <c r="D100" s="12">
        <v>60006644431</v>
      </c>
      <c r="E100" s="30" t="s">
        <v>214</v>
      </c>
      <c r="F100" s="46">
        <v>571</v>
      </c>
      <c r="G100" s="46">
        <v>0</v>
      </c>
      <c r="H100" s="74">
        <v>0</v>
      </c>
      <c r="I100" s="51">
        <f t="shared" si="1"/>
        <v>571</v>
      </c>
    </row>
    <row r="101" spans="1:9" ht="21" customHeight="1">
      <c r="A101" s="60"/>
      <c r="B101" s="26" t="s">
        <v>215</v>
      </c>
      <c r="C101" s="26" t="s">
        <v>344</v>
      </c>
      <c r="D101" s="12">
        <v>60006644654</v>
      </c>
      <c r="E101" s="30" t="s">
        <v>216</v>
      </c>
      <c r="F101" s="47">
        <f>152/2</f>
        <v>76</v>
      </c>
      <c r="G101" s="47">
        <v>0</v>
      </c>
      <c r="H101" s="75">
        <v>0</v>
      </c>
      <c r="I101" s="92">
        <f t="shared" si="1"/>
        <v>76</v>
      </c>
    </row>
    <row r="102" spans="1:9" ht="21" customHeight="1">
      <c r="A102" s="60"/>
      <c r="B102" s="26" t="s">
        <v>217</v>
      </c>
      <c r="C102" s="93"/>
      <c r="D102" s="12">
        <v>60007182237</v>
      </c>
      <c r="E102" s="30" t="s">
        <v>218</v>
      </c>
      <c r="F102" s="46"/>
      <c r="G102" s="46"/>
      <c r="H102" s="74"/>
      <c r="I102" s="51">
        <f t="shared" si="1"/>
        <v>0</v>
      </c>
    </row>
    <row r="103" spans="1:9" ht="21" customHeight="1">
      <c r="A103" s="60"/>
      <c r="B103" s="26" t="s">
        <v>219</v>
      </c>
      <c r="C103" s="26" t="s">
        <v>354</v>
      </c>
      <c r="D103" s="12">
        <v>60007843211</v>
      </c>
      <c r="E103" s="30" t="s">
        <v>220</v>
      </c>
      <c r="F103" s="46">
        <v>175</v>
      </c>
      <c r="G103" s="46">
        <v>0</v>
      </c>
      <c r="H103" s="74">
        <v>0</v>
      </c>
      <c r="I103" s="51">
        <f t="shared" si="1"/>
        <v>175</v>
      </c>
    </row>
    <row r="104" spans="1:9" ht="21" customHeight="1">
      <c r="A104" s="60"/>
      <c r="B104" s="26" t="s">
        <v>221</v>
      </c>
      <c r="C104" s="26" t="s">
        <v>355</v>
      </c>
      <c r="D104" s="12">
        <v>60007843225</v>
      </c>
      <c r="E104" s="30" t="s">
        <v>222</v>
      </c>
      <c r="F104" s="46">
        <v>3</v>
      </c>
      <c r="G104" s="46">
        <v>0</v>
      </c>
      <c r="H104" s="74">
        <v>0</v>
      </c>
      <c r="I104" s="51">
        <f t="shared" si="1"/>
        <v>3</v>
      </c>
    </row>
    <row r="105" spans="1:9" ht="21" customHeight="1">
      <c r="A105" s="60"/>
      <c r="B105" s="26" t="s">
        <v>223</v>
      </c>
      <c r="C105" s="26" t="s">
        <v>347</v>
      </c>
      <c r="D105" s="12">
        <v>60007211343</v>
      </c>
      <c r="E105" s="30" t="s">
        <v>224</v>
      </c>
      <c r="F105" s="46">
        <v>0</v>
      </c>
      <c r="G105" s="46">
        <v>0</v>
      </c>
      <c r="H105" s="74">
        <v>0</v>
      </c>
      <c r="I105" s="51">
        <f t="shared" si="1"/>
        <v>0</v>
      </c>
    </row>
    <row r="106" spans="1:9" ht="21" customHeight="1">
      <c r="A106" s="60"/>
      <c r="B106" s="26" t="s">
        <v>225</v>
      </c>
      <c r="C106" s="26" t="s">
        <v>346</v>
      </c>
      <c r="D106" s="12">
        <v>60007211339</v>
      </c>
      <c r="E106" s="30" t="s">
        <v>226</v>
      </c>
      <c r="F106" s="46">
        <f>314/2</f>
        <v>157</v>
      </c>
      <c r="G106" s="46">
        <v>0</v>
      </c>
      <c r="H106" s="74">
        <v>0</v>
      </c>
      <c r="I106" s="51">
        <f t="shared" si="1"/>
        <v>157</v>
      </c>
    </row>
    <row r="107" spans="1:9" ht="21" customHeight="1">
      <c r="A107" s="60"/>
      <c r="B107" s="26" t="s">
        <v>227</v>
      </c>
      <c r="C107" s="26" t="s">
        <v>291</v>
      </c>
      <c r="D107" s="12">
        <v>60007239731</v>
      </c>
      <c r="E107" s="30" t="s">
        <v>228</v>
      </c>
      <c r="F107" s="46">
        <f>2008/2</f>
        <v>1004</v>
      </c>
      <c r="G107" s="46">
        <v>0</v>
      </c>
      <c r="H107" s="74">
        <v>0</v>
      </c>
      <c r="I107" s="51">
        <f t="shared" si="1"/>
        <v>1004</v>
      </c>
    </row>
    <row r="108" spans="1:9" ht="21" customHeight="1">
      <c r="A108" s="60"/>
      <c r="B108" s="26" t="s">
        <v>229</v>
      </c>
      <c r="C108" s="26" t="s">
        <v>348</v>
      </c>
      <c r="D108" s="12">
        <v>60007483419</v>
      </c>
      <c r="E108" s="30" t="s">
        <v>230</v>
      </c>
      <c r="F108" s="46">
        <f>843/2</f>
        <v>421.5</v>
      </c>
      <c r="G108" s="46">
        <v>0</v>
      </c>
      <c r="H108" s="74">
        <v>0</v>
      </c>
      <c r="I108" s="51">
        <f t="shared" si="1"/>
        <v>421.5</v>
      </c>
    </row>
    <row r="109" spans="1:9" ht="21" customHeight="1">
      <c r="A109" s="60"/>
      <c r="B109" s="26" t="s">
        <v>231</v>
      </c>
      <c r="C109" s="26" t="s">
        <v>301</v>
      </c>
      <c r="D109" s="12">
        <v>60006579638</v>
      </c>
      <c r="E109" s="30" t="s">
        <v>232</v>
      </c>
      <c r="F109" s="46">
        <v>0</v>
      </c>
      <c r="G109" s="46">
        <v>0</v>
      </c>
      <c r="H109" s="74">
        <v>0</v>
      </c>
      <c r="I109" s="51">
        <f t="shared" si="1"/>
        <v>0</v>
      </c>
    </row>
    <row r="110" spans="1:9" ht="21" customHeight="1">
      <c r="A110" s="60"/>
      <c r="B110" s="26" t="s">
        <v>233</v>
      </c>
      <c r="C110" s="26" t="s">
        <v>349</v>
      </c>
      <c r="D110" s="12">
        <v>60006579657</v>
      </c>
      <c r="E110" s="30" t="s">
        <v>234</v>
      </c>
      <c r="F110" s="46">
        <v>856</v>
      </c>
      <c r="G110" s="46">
        <v>0</v>
      </c>
      <c r="H110" s="74">
        <v>0</v>
      </c>
      <c r="I110" s="51">
        <f t="shared" si="1"/>
        <v>856</v>
      </c>
    </row>
    <row r="111" spans="1:9" ht="21" customHeight="1">
      <c r="A111" s="60"/>
      <c r="B111" s="26" t="s">
        <v>235</v>
      </c>
      <c r="C111" s="93"/>
      <c r="D111" s="12">
        <v>60006579676</v>
      </c>
      <c r="E111" s="30" t="s">
        <v>236</v>
      </c>
      <c r="F111" s="46">
        <v>5</v>
      </c>
      <c r="G111" s="46">
        <v>0</v>
      </c>
      <c r="H111" s="74">
        <v>0</v>
      </c>
      <c r="I111" s="51">
        <f t="shared" si="1"/>
        <v>5</v>
      </c>
    </row>
    <row r="112" spans="1:9" ht="21" customHeight="1">
      <c r="A112" s="60"/>
      <c r="B112" s="26" t="s">
        <v>237</v>
      </c>
      <c r="C112" s="26" t="s">
        <v>351</v>
      </c>
      <c r="D112" s="12">
        <v>60007631681</v>
      </c>
      <c r="E112" s="30" t="s">
        <v>238</v>
      </c>
      <c r="F112" s="46">
        <v>56</v>
      </c>
      <c r="G112" s="46">
        <v>0</v>
      </c>
      <c r="H112" s="74">
        <v>0</v>
      </c>
      <c r="I112" s="51">
        <f t="shared" si="1"/>
        <v>56</v>
      </c>
    </row>
    <row r="113" spans="1:9" ht="21" customHeight="1">
      <c r="A113" s="60"/>
      <c r="B113" s="26" t="s">
        <v>239</v>
      </c>
      <c r="C113" s="26" t="s">
        <v>357</v>
      </c>
      <c r="D113" s="12">
        <v>60007848373</v>
      </c>
      <c r="E113" s="30" t="s">
        <v>240</v>
      </c>
      <c r="F113" s="46">
        <f>2094/2</f>
        <v>1047</v>
      </c>
      <c r="G113" s="46">
        <v>0</v>
      </c>
      <c r="H113" s="74">
        <v>0</v>
      </c>
      <c r="I113" s="51">
        <f t="shared" si="1"/>
        <v>1047</v>
      </c>
    </row>
    <row r="114" spans="1:9" ht="21" customHeight="1">
      <c r="A114" s="60"/>
      <c r="B114" s="26" t="s">
        <v>241</v>
      </c>
      <c r="C114" s="26" t="s">
        <v>338</v>
      </c>
      <c r="D114" s="12">
        <v>60006631880</v>
      </c>
      <c r="E114" s="30" t="s">
        <v>242</v>
      </c>
      <c r="F114" s="46">
        <f>366/2</f>
        <v>183</v>
      </c>
      <c r="G114" s="46">
        <v>0</v>
      </c>
      <c r="H114" s="74">
        <v>0</v>
      </c>
      <c r="I114" s="51">
        <f t="shared" si="1"/>
        <v>183</v>
      </c>
    </row>
    <row r="115" spans="1:9" ht="21" customHeight="1">
      <c r="A115" s="64"/>
      <c r="B115" s="26" t="s">
        <v>243</v>
      </c>
      <c r="C115" s="26" t="s">
        <v>320</v>
      </c>
      <c r="D115" s="12">
        <v>60006631920</v>
      </c>
      <c r="E115" s="30" t="s">
        <v>244</v>
      </c>
      <c r="F115" s="49">
        <f>2333/2</f>
        <v>1166.5</v>
      </c>
      <c r="G115" s="49">
        <v>0</v>
      </c>
      <c r="H115" s="76">
        <v>0</v>
      </c>
      <c r="I115" s="51">
        <f t="shared" si="1"/>
        <v>1166.5</v>
      </c>
    </row>
    <row r="116" spans="1:9" ht="21" customHeight="1">
      <c r="A116" s="64"/>
      <c r="B116" s="26" t="s">
        <v>245</v>
      </c>
      <c r="C116" s="26" t="s">
        <v>340</v>
      </c>
      <c r="D116" s="12">
        <v>60006631987</v>
      </c>
      <c r="E116" s="30" t="s">
        <v>246</v>
      </c>
      <c r="F116" s="49">
        <f>4342/2</f>
        <v>2171</v>
      </c>
      <c r="G116" s="49">
        <v>0</v>
      </c>
      <c r="H116" s="76">
        <v>0</v>
      </c>
      <c r="I116" s="51">
        <f t="shared" si="1"/>
        <v>2171</v>
      </c>
    </row>
    <row r="117" spans="1:9" ht="21" customHeight="1">
      <c r="A117" s="64"/>
      <c r="B117" s="26" t="s">
        <v>247</v>
      </c>
      <c r="C117" s="26" t="s">
        <v>373</v>
      </c>
      <c r="D117" s="12">
        <v>60006632009</v>
      </c>
      <c r="E117" s="30" t="s">
        <v>248</v>
      </c>
      <c r="F117" s="49">
        <f>3879/2</f>
        <v>1939.5</v>
      </c>
      <c r="G117" s="49">
        <v>0</v>
      </c>
      <c r="H117" s="76">
        <v>0</v>
      </c>
      <c r="I117" s="51">
        <f t="shared" si="1"/>
        <v>1939.5</v>
      </c>
    </row>
    <row r="118" spans="1:9" ht="21" customHeight="1">
      <c r="A118" s="64"/>
      <c r="B118" s="26" t="s">
        <v>249</v>
      </c>
      <c r="C118" s="26" t="s">
        <v>350</v>
      </c>
      <c r="D118" s="12">
        <v>60007611240</v>
      </c>
      <c r="E118" s="30" t="s">
        <v>250</v>
      </c>
      <c r="F118" s="49">
        <f>3122/2</f>
        <v>1561</v>
      </c>
      <c r="G118" s="49">
        <v>0</v>
      </c>
      <c r="H118" s="76">
        <v>0</v>
      </c>
      <c r="I118" s="51">
        <f t="shared" si="1"/>
        <v>1561</v>
      </c>
    </row>
    <row r="119" spans="1:9" ht="21" customHeight="1">
      <c r="A119" s="64"/>
      <c r="B119" s="26" t="s">
        <v>251</v>
      </c>
      <c r="C119" s="26" t="s">
        <v>337</v>
      </c>
      <c r="D119" s="12">
        <v>60006613294</v>
      </c>
      <c r="E119" s="30" t="s">
        <v>252</v>
      </c>
      <c r="F119" s="49">
        <f>207/2</f>
        <v>103.5</v>
      </c>
      <c r="G119" s="49">
        <v>0</v>
      </c>
      <c r="H119" s="76">
        <v>0</v>
      </c>
      <c r="I119" s="51">
        <f t="shared" si="1"/>
        <v>103.5</v>
      </c>
    </row>
    <row r="120" spans="1:9" ht="21" customHeight="1">
      <c r="A120" s="64"/>
      <c r="B120" s="26" t="s">
        <v>253</v>
      </c>
      <c r="C120" s="26" t="s">
        <v>303</v>
      </c>
      <c r="D120" s="12">
        <v>60006631725</v>
      </c>
      <c r="E120" s="30" t="s">
        <v>254</v>
      </c>
      <c r="F120" s="49">
        <f>2343/2</f>
        <v>1171.5</v>
      </c>
      <c r="G120" s="49">
        <v>0</v>
      </c>
      <c r="H120" s="76">
        <v>0</v>
      </c>
      <c r="I120" s="51">
        <f t="shared" si="1"/>
        <v>1171.5</v>
      </c>
    </row>
    <row r="121" spans="1:9" ht="21" customHeight="1">
      <c r="A121" s="64"/>
      <c r="B121" s="26" t="s">
        <v>255</v>
      </c>
      <c r="C121" s="26" t="s">
        <v>304</v>
      </c>
      <c r="D121" s="12">
        <v>60006631818</v>
      </c>
      <c r="E121" s="30" t="s">
        <v>256</v>
      </c>
      <c r="F121" s="49">
        <f>66/2+69/2</f>
        <v>67.5</v>
      </c>
      <c r="G121" s="49">
        <v>0</v>
      </c>
      <c r="H121" s="76">
        <v>0</v>
      </c>
      <c r="I121" s="51">
        <f aca="true" t="shared" si="2" ref="I121:I130">F121+G121+H121</f>
        <v>67.5</v>
      </c>
    </row>
    <row r="122" spans="1:9" ht="21" customHeight="1">
      <c r="A122" s="64"/>
      <c r="B122" s="25" t="s">
        <v>257</v>
      </c>
      <c r="C122" s="95"/>
      <c r="D122" s="14">
        <v>60006631824</v>
      </c>
      <c r="E122" s="45" t="s">
        <v>258</v>
      </c>
      <c r="F122" s="49">
        <f>8845*0.5</f>
        <v>4422.5</v>
      </c>
      <c r="G122" s="49">
        <v>0</v>
      </c>
      <c r="H122" s="76">
        <v>0</v>
      </c>
      <c r="I122" s="51">
        <f t="shared" si="2"/>
        <v>4422.5</v>
      </c>
    </row>
    <row r="123" spans="1:9" ht="21" customHeight="1">
      <c r="A123" s="64"/>
      <c r="B123" s="25" t="s">
        <v>259</v>
      </c>
      <c r="C123" s="25" t="s">
        <v>345</v>
      </c>
      <c r="D123" s="14">
        <v>60006872372</v>
      </c>
      <c r="E123" s="45" t="s">
        <v>260</v>
      </c>
      <c r="F123" s="49">
        <v>173</v>
      </c>
      <c r="G123" s="49">
        <v>0</v>
      </c>
      <c r="H123" s="76">
        <v>0</v>
      </c>
      <c r="I123" s="51">
        <f t="shared" si="2"/>
        <v>173</v>
      </c>
    </row>
    <row r="124" spans="1:9" ht="21" customHeight="1">
      <c r="A124" s="64"/>
      <c r="B124" s="25" t="s">
        <v>261</v>
      </c>
      <c r="C124" s="25" t="s">
        <v>321</v>
      </c>
      <c r="D124" s="14">
        <v>60006974384</v>
      </c>
      <c r="E124" s="45" t="s">
        <v>262</v>
      </c>
      <c r="F124" s="49">
        <f>855/2</f>
        <v>427.5</v>
      </c>
      <c r="G124" s="49">
        <v>0</v>
      </c>
      <c r="H124" s="76">
        <v>0</v>
      </c>
      <c r="I124" s="51">
        <f t="shared" si="2"/>
        <v>427.5</v>
      </c>
    </row>
    <row r="125" spans="1:9" ht="21" customHeight="1">
      <c r="A125" s="64"/>
      <c r="B125" s="25" t="s">
        <v>263</v>
      </c>
      <c r="C125" s="25" t="s">
        <v>368</v>
      </c>
      <c r="D125" s="14">
        <v>60006581324</v>
      </c>
      <c r="E125" s="45" t="s">
        <v>264</v>
      </c>
      <c r="F125" s="49">
        <v>2753</v>
      </c>
      <c r="G125" s="49">
        <v>0</v>
      </c>
      <c r="H125" s="76">
        <v>0</v>
      </c>
      <c r="I125" s="51">
        <f t="shared" si="2"/>
        <v>2753</v>
      </c>
    </row>
    <row r="126" spans="1:9" ht="21" customHeight="1">
      <c r="A126" s="64"/>
      <c r="B126" s="25" t="s">
        <v>265</v>
      </c>
      <c r="C126" s="25" t="s">
        <v>352</v>
      </c>
      <c r="D126" s="14">
        <v>60007651627</v>
      </c>
      <c r="E126" s="45" t="s">
        <v>266</v>
      </c>
      <c r="F126" s="49">
        <v>35</v>
      </c>
      <c r="G126" s="49">
        <v>0</v>
      </c>
      <c r="H126" s="76">
        <v>0</v>
      </c>
      <c r="I126" s="51">
        <f t="shared" si="2"/>
        <v>35</v>
      </c>
    </row>
    <row r="127" spans="1:9" ht="21" customHeight="1">
      <c r="A127" s="64"/>
      <c r="B127" s="25" t="s">
        <v>267</v>
      </c>
      <c r="C127" s="95"/>
      <c r="D127" s="14">
        <v>83007351147</v>
      </c>
      <c r="E127" s="45" t="s">
        <v>268</v>
      </c>
      <c r="F127" s="49">
        <v>14</v>
      </c>
      <c r="G127" s="49">
        <v>0</v>
      </c>
      <c r="H127" s="76">
        <v>0</v>
      </c>
      <c r="I127" s="51">
        <f t="shared" si="2"/>
        <v>14</v>
      </c>
    </row>
    <row r="128" spans="1:9" ht="21" customHeight="1">
      <c r="A128" s="64"/>
      <c r="B128" s="25" t="s">
        <v>269</v>
      </c>
      <c r="C128" s="25"/>
      <c r="D128" s="14">
        <v>83007705623</v>
      </c>
      <c r="E128" s="45" t="s">
        <v>270</v>
      </c>
      <c r="F128" s="49">
        <v>21</v>
      </c>
      <c r="G128" s="49">
        <v>0</v>
      </c>
      <c r="H128" s="76">
        <v>0</v>
      </c>
      <c r="I128" s="51">
        <f t="shared" si="2"/>
        <v>21</v>
      </c>
    </row>
    <row r="129" spans="1:9" ht="21" customHeight="1">
      <c r="A129" s="64"/>
      <c r="B129" s="25" t="s">
        <v>271</v>
      </c>
      <c r="C129" s="25"/>
      <c r="D129" s="14">
        <v>83007812488</v>
      </c>
      <c r="E129" s="45" t="s">
        <v>272</v>
      </c>
      <c r="F129" s="49">
        <v>436</v>
      </c>
      <c r="G129" s="49">
        <v>0</v>
      </c>
      <c r="H129" s="76">
        <v>0</v>
      </c>
      <c r="I129" s="51">
        <f t="shared" si="2"/>
        <v>436</v>
      </c>
    </row>
    <row r="130" spans="1:9" ht="21" customHeight="1">
      <c r="A130" s="64"/>
      <c r="B130" s="25" t="s">
        <v>273</v>
      </c>
      <c r="C130" s="25"/>
      <c r="D130" s="14">
        <v>83007946440</v>
      </c>
      <c r="E130" s="45" t="s">
        <v>274</v>
      </c>
      <c r="F130" s="49"/>
      <c r="G130" s="49"/>
      <c r="H130" s="76"/>
      <c r="I130" s="51">
        <f t="shared" si="2"/>
        <v>0</v>
      </c>
    </row>
    <row r="131" spans="1:9" ht="21" customHeight="1" thickBot="1">
      <c r="A131" s="65" t="s">
        <v>0</v>
      </c>
      <c r="B131" s="66"/>
      <c r="C131" s="66"/>
      <c r="D131" s="13"/>
      <c r="E131" s="13"/>
      <c r="F131" s="69"/>
      <c r="G131" s="69"/>
      <c r="H131" s="77"/>
      <c r="I131" s="70">
        <f>SUM(I8:I130)</f>
        <v>151563.3333333333</v>
      </c>
    </row>
    <row r="132" ht="13.5" thickTop="1"/>
  </sheetData>
  <sheetProtection/>
  <mergeCells count="3">
    <mergeCell ref="F4:I4"/>
    <mergeCell ref="G3:I3"/>
    <mergeCell ref="F2:I2"/>
  </mergeCells>
  <printOptions horizontalCentered="1"/>
  <pageMargins left="0.3937007874015748" right="0.3937007874015748" top="0.5905511811023623" bottom="0.5905511811023623" header="0" footer="0"/>
  <pageSetup fitToHeight="0" fitToWidth="1" horizontalDpi="300" verticalDpi="300" orientation="portrait" paperSize="9" scale="30" r:id="rId1"/>
  <headerFooter alignWithMargins="0">
    <oddHeader>&amp;R&amp;D</oddHeader>
    <oddFooter>&amp;CPágina &amp;P de &amp;N</oddFooter>
  </headerFooter>
  <colBreaks count="1" manualBreakCount="1">
    <brk id="9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2:M131"/>
  <sheetViews>
    <sheetView zoomScale="90" zoomScaleNormal="90" zoomScalePageLayoutView="0" workbookViewId="0" topLeftCell="D121">
      <selection activeCell="A54" sqref="A54:IV56"/>
    </sheetView>
  </sheetViews>
  <sheetFormatPr defaultColWidth="11.421875" defaultRowHeight="12.75"/>
  <cols>
    <col min="1" max="1" width="15.140625" style="1" customWidth="1"/>
    <col min="2" max="2" width="86.8515625" style="21" customWidth="1"/>
    <col min="3" max="3" width="104.140625" style="21" customWidth="1"/>
    <col min="4" max="4" width="20.57421875" style="1" customWidth="1"/>
    <col min="5" max="5" width="33.00390625" style="1" hidden="1" customWidth="1"/>
    <col min="6" max="6" width="16.421875" style="2" customWidth="1"/>
    <col min="7" max="7" width="15.57421875" style="2" customWidth="1"/>
    <col min="8" max="8" width="15.28125" style="2" customWidth="1"/>
    <col min="9" max="9" width="21.421875" style="2" customWidth="1"/>
    <col min="10" max="10" width="11.421875" style="1" customWidth="1"/>
    <col min="11" max="11" width="11.57421875" style="1" bestFit="1" customWidth="1"/>
    <col min="12" max="16384" width="11.421875" style="1" customWidth="1"/>
  </cols>
  <sheetData>
    <row r="1" ht="15.75" customHeight="1"/>
    <row r="2" spans="7:13" ht="42.75" customHeight="1">
      <c r="G2" s="96" t="s">
        <v>9</v>
      </c>
      <c r="H2" s="96"/>
      <c r="I2" s="96"/>
      <c r="K2" s="96"/>
      <c r="L2" s="96"/>
      <c r="M2" s="96"/>
    </row>
    <row r="3" spans="8:13" ht="33.75" customHeight="1">
      <c r="H3" s="97"/>
      <c r="I3" s="97"/>
      <c r="K3" s="97"/>
      <c r="L3" s="97"/>
      <c r="M3" s="97"/>
    </row>
    <row r="4" spans="7:13" ht="21.75" customHeight="1">
      <c r="G4" s="98" t="s">
        <v>123</v>
      </c>
      <c r="H4" s="98"/>
      <c r="I4" s="98"/>
      <c r="K4" s="98"/>
      <c r="L4" s="98"/>
      <c r="M4" s="98"/>
    </row>
    <row r="5" ht="15.75" customHeight="1"/>
    <row r="6" spans="1:8" ht="15.75" customHeight="1" thickBot="1">
      <c r="A6" s="3"/>
      <c r="B6" s="22"/>
      <c r="C6" s="22"/>
      <c r="D6" s="3"/>
      <c r="E6" s="3"/>
      <c r="F6" s="4"/>
      <c r="G6" s="4"/>
      <c r="H6" s="4"/>
    </row>
    <row r="7" spans="1:9" ht="20.25" customHeight="1" thickTop="1">
      <c r="A7" s="5" t="s">
        <v>1</v>
      </c>
      <c r="B7" s="23" t="s">
        <v>3</v>
      </c>
      <c r="C7" s="23" t="s">
        <v>285</v>
      </c>
      <c r="D7" s="11" t="s">
        <v>2</v>
      </c>
      <c r="E7" s="11" t="s">
        <v>11</v>
      </c>
      <c r="F7" s="6" t="s">
        <v>6</v>
      </c>
      <c r="G7" s="6" t="s">
        <v>7</v>
      </c>
      <c r="H7" s="6" t="s">
        <v>8</v>
      </c>
      <c r="I7" s="7" t="s">
        <v>0</v>
      </c>
    </row>
    <row r="8" spans="1:9" ht="20.25" customHeight="1">
      <c r="A8" s="27"/>
      <c r="B8" s="72" t="s">
        <v>15</v>
      </c>
      <c r="C8" s="72" t="s">
        <v>316</v>
      </c>
      <c r="D8" s="12">
        <v>83006884161</v>
      </c>
      <c r="E8" s="30" t="s">
        <v>16</v>
      </c>
      <c r="F8" s="8">
        <v>190.83</v>
      </c>
      <c r="G8" s="8">
        <v>5.2</v>
      </c>
      <c r="H8" s="8">
        <v>1.23</v>
      </c>
      <c r="I8" s="9">
        <f aca="true" t="shared" si="0" ref="I8:I58">SUM(F8:H8)</f>
        <v>197.26</v>
      </c>
    </row>
    <row r="9" spans="1:9" ht="20.25" customHeight="1">
      <c r="A9" s="27"/>
      <c r="B9" s="26" t="s">
        <v>17</v>
      </c>
      <c r="C9" s="26" t="s">
        <v>314</v>
      </c>
      <c r="D9" s="12">
        <v>83001699293</v>
      </c>
      <c r="E9" s="30" t="s">
        <v>19</v>
      </c>
      <c r="F9" s="8">
        <v>252.47</v>
      </c>
      <c r="G9" s="8">
        <v>7.42</v>
      </c>
      <c r="H9" s="8">
        <v>0.35</v>
      </c>
      <c r="I9" s="9">
        <f t="shared" si="0"/>
        <v>260.24</v>
      </c>
    </row>
    <row r="10" spans="1:9" ht="20.25" customHeight="1">
      <c r="A10" s="27"/>
      <c r="B10" s="26" t="s">
        <v>18</v>
      </c>
      <c r="C10" s="26" t="s">
        <v>324</v>
      </c>
      <c r="D10" s="12">
        <v>83002793469</v>
      </c>
      <c r="E10" s="30" t="s">
        <v>20</v>
      </c>
      <c r="F10" s="8">
        <v>1211.13</v>
      </c>
      <c r="G10" s="8">
        <v>35.17</v>
      </c>
      <c r="H10" s="8">
        <v>2.72</v>
      </c>
      <c r="I10" s="9">
        <f t="shared" si="0"/>
        <v>1249.0200000000002</v>
      </c>
    </row>
    <row r="11" spans="1:9" ht="20.25" customHeight="1">
      <c r="A11" s="27"/>
      <c r="B11" s="26" t="s">
        <v>21</v>
      </c>
      <c r="C11" s="26" t="s">
        <v>365</v>
      </c>
      <c r="D11" s="12">
        <v>83005319585</v>
      </c>
      <c r="E11" s="30" t="s">
        <v>22</v>
      </c>
      <c r="F11" s="8">
        <v>176.83</v>
      </c>
      <c r="G11" s="8">
        <v>4.8</v>
      </c>
      <c r="H11" s="8">
        <v>1.19</v>
      </c>
      <c r="I11" s="9">
        <f t="shared" si="0"/>
        <v>182.82000000000002</v>
      </c>
    </row>
    <row r="12" spans="1:9" ht="20.25" customHeight="1">
      <c r="A12" s="27"/>
      <c r="B12" s="26" t="s">
        <v>23</v>
      </c>
      <c r="C12" s="26" t="s">
        <v>325</v>
      </c>
      <c r="D12" s="61">
        <v>999395654431</v>
      </c>
      <c r="E12" s="30" t="s">
        <v>24</v>
      </c>
      <c r="F12" s="8">
        <v>1616.98</v>
      </c>
      <c r="G12" s="8">
        <v>47.34</v>
      </c>
      <c r="H12" s="8">
        <v>2.72</v>
      </c>
      <c r="I12" s="9">
        <f t="shared" si="0"/>
        <v>1667.04</v>
      </c>
    </row>
    <row r="13" spans="1:9" ht="20.25" customHeight="1">
      <c r="A13" s="27"/>
      <c r="B13" s="26" t="s">
        <v>25</v>
      </c>
      <c r="C13" s="26" t="s">
        <v>315</v>
      </c>
      <c r="D13" s="61">
        <v>999395655454</v>
      </c>
      <c r="E13" s="30" t="s">
        <v>26</v>
      </c>
      <c r="F13" s="8">
        <v>638.56</v>
      </c>
      <c r="G13" s="8">
        <v>17.99</v>
      </c>
      <c r="H13" s="8">
        <v>2.72</v>
      </c>
      <c r="I13" s="9">
        <f t="shared" si="0"/>
        <v>659.27</v>
      </c>
    </row>
    <row r="14" spans="1:9" ht="20.25" customHeight="1">
      <c r="A14" s="27"/>
      <c r="B14" s="26" t="s">
        <v>27</v>
      </c>
      <c r="C14" s="26" t="s">
        <v>326</v>
      </c>
      <c r="D14" s="61">
        <v>512012286</v>
      </c>
      <c r="E14" s="30" t="s">
        <v>28</v>
      </c>
      <c r="F14" s="8">
        <v>961.06</v>
      </c>
      <c r="G14" s="8">
        <v>27.66</v>
      </c>
      <c r="H14" s="8">
        <v>2.72</v>
      </c>
      <c r="I14" s="9">
        <f t="shared" si="0"/>
        <v>991.4399999999999</v>
      </c>
    </row>
    <row r="15" spans="1:9" ht="20.25" customHeight="1">
      <c r="A15" s="27"/>
      <c r="B15" s="26" t="s">
        <v>29</v>
      </c>
      <c r="C15" s="26" t="s">
        <v>327</v>
      </c>
      <c r="D15" s="61">
        <v>999395659634</v>
      </c>
      <c r="E15" s="30" t="s">
        <v>30</v>
      </c>
      <c r="F15" s="8">
        <v>1340.57</v>
      </c>
      <c r="G15" s="8">
        <v>39.96</v>
      </c>
      <c r="H15" s="8">
        <v>0.59</v>
      </c>
      <c r="I15" s="9">
        <f t="shared" si="0"/>
        <v>1381.12</v>
      </c>
    </row>
    <row r="16" spans="1:9" ht="20.25" customHeight="1">
      <c r="A16" s="27"/>
      <c r="B16" s="26" t="s">
        <v>31</v>
      </c>
      <c r="C16" s="26" t="s">
        <v>317</v>
      </c>
      <c r="D16" s="61">
        <v>999395660462</v>
      </c>
      <c r="E16" s="30" t="s">
        <v>32</v>
      </c>
      <c r="F16" s="8">
        <v>338.31</v>
      </c>
      <c r="G16" s="8">
        <v>9.62</v>
      </c>
      <c r="H16" s="8">
        <v>1.23</v>
      </c>
      <c r="I16" s="9">
        <f t="shared" si="0"/>
        <v>349.16</v>
      </c>
    </row>
    <row r="17" spans="1:9" ht="20.25" customHeight="1">
      <c r="A17" s="27"/>
      <c r="B17" s="26" t="s">
        <v>33</v>
      </c>
      <c r="C17" s="26" t="s">
        <v>366</v>
      </c>
      <c r="D17" s="61">
        <v>999395662284</v>
      </c>
      <c r="E17" s="30" t="s">
        <v>34</v>
      </c>
      <c r="F17" s="8">
        <v>1130.49</v>
      </c>
      <c r="G17" s="8">
        <v>33.41</v>
      </c>
      <c r="H17" s="8">
        <v>1.19</v>
      </c>
      <c r="I17" s="9">
        <f t="shared" si="0"/>
        <v>1165.0900000000001</v>
      </c>
    </row>
    <row r="18" spans="1:9" ht="20.25" customHeight="1">
      <c r="A18" s="27"/>
      <c r="B18" s="26" t="s">
        <v>35</v>
      </c>
      <c r="C18" s="26" t="s">
        <v>292</v>
      </c>
      <c r="D18" s="61">
        <v>999395662947</v>
      </c>
      <c r="E18" s="30" t="s">
        <v>36</v>
      </c>
      <c r="F18" s="8">
        <v>499.97</v>
      </c>
      <c r="G18" s="8">
        <v>14.47</v>
      </c>
      <c r="H18" s="8">
        <v>1.23</v>
      </c>
      <c r="I18" s="9">
        <f t="shared" si="0"/>
        <v>515.6700000000001</v>
      </c>
    </row>
    <row r="19" spans="1:9" ht="20.25" customHeight="1">
      <c r="A19" s="27"/>
      <c r="B19" s="26" t="s">
        <v>37</v>
      </c>
      <c r="C19" s="26" t="s">
        <v>369</v>
      </c>
      <c r="D19" s="61">
        <v>999395663410</v>
      </c>
      <c r="E19" s="30" t="s">
        <v>38</v>
      </c>
      <c r="F19" s="8">
        <v>424.28</v>
      </c>
      <c r="G19" s="8">
        <v>12.22</v>
      </c>
      <c r="H19" s="8">
        <v>1.19</v>
      </c>
      <c r="I19" s="9">
        <f t="shared" si="0"/>
        <v>437.69</v>
      </c>
    </row>
    <row r="20" spans="1:9" ht="20.25" customHeight="1">
      <c r="A20" s="27"/>
      <c r="B20" s="26" t="s">
        <v>39</v>
      </c>
      <c r="C20" s="26" t="s">
        <v>293</v>
      </c>
      <c r="D20" s="61">
        <v>999395665004</v>
      </c>
      <c r="E20" s="30" t="s">
        <v>40</v>
      </c>
      <c r="F20" s="8">
        <v>1224.36</v>
      </c>
      <c r="G20" s="8">
        <v>36.2</v>
      </c>
      <c r="H20" s="8">
        <v>1.23</v>
      </c>
      <c r="I20" s="9">
        <f t="shared" si="0"/>
        <v>1261.79</v>
      </c>
    </row>
    <row r="21" spans="1:9" ht="20.25" customHeight="1">
      <c r="A21" s="27"/>
      <c r="B21" s="26" t="s">
        <v>41</v>
      </c>
      <c r="C21" s="26" t="s">
        <v>367</v>
      </c>
      <c r="D21" s="61">
        <v>999395665500</v>
      </c>
      <c r="E21" s="30" t="s">
        <v>42</v>
      </c>
      <c r="F21" s="8">
        <v>579.45</v>
      </c>
      <c r="G21" s="8">
        <v>16.86</v>
      </c>
      <c r="H21" s="8">
        <v>1.23</v>
      </c>
      <c r="I21" s="9">
        <f t="shared" si="0"/>
        <v>597.5400000000001</v>
      </c>
    </row>
    <row r="22" spans="1:9" ht="20.25" customHeight="1">
      <c r="A22" s="27"/>
      <c r="B22" s="26" t="s">
        <v>43</v>
      </c>
      <c r="C22" s="93"/>
      <c r="D22" s="61">
        <v>999395674678</v>
      </c>
      <c r="E22" s="30" t="s">
        <v>44</v>
      </c>
      <c r="F22" s="8">
        <v>177.14</v>
      </c>
      <c r="G22" s="8">
        <v>4.73</v>
      </c>
      <c r="H22" s="8">
        <v>1.36</v>
      </c>
      <c r="I22" s="9">
        <f t="shared" si="0"/>
        <v>183.23</v>
      </c>
    </row>
    <row r="23" spans="1:9" ht="20.25" customHeight="1">
      <c r="A23" s="27"/>
      <c r="B23" s="26" t="s">
        <v>45</v>
      </c>
      <c r="C23" s="26" t="s">
        <v>307</v>
      </c>
      <c r="D23" s="61">
        <v>999395675751</v>
      </c>
      <c r="E23" s="30" t="s">
        <v>46</v>
      </c>
      <c r="F23" s="8">
        <v>246.02</v>
      </c>
      <c r="G23" s="8">
        <v>6.87</v>
      </c>
      <c r="H23" s="8">
        <v>1.19</v>
      </c>
      <c r="I23" s="9">
        <f t="shared" si="0"/>
        <v>254.08</v>
      </c>
    </row>
    <row r="24" spans="1:9" s="19" customFormat="1" ht="20.25" customHeight="1">
      <c r="A24" s="27"/>
      <c r="B24" s="26" t="s">
        <v>47</v>
      </c>
      <c r="C24" s="26" t="s">
        <v>318</v>
      </c>
      <c r="D24" s="61">
        <v>999395676257</v>
      </c>
      <c r="E24" s="30" t="s">
        <v>48</v>
      </c>
      <c r="F24" s="8">
        <v>187.14</v>
      </c>
      <c r="G24" s="8">
        <v>5.11</v>
      </c>
      <c r="H24" s="8">
        <v>1.19</v>
      </c>
      <c r="I24" s="9">
        <f t="shared" si="0"/>
        <v>193.44</v>
      </c>
    </row>
    <row r="25" spans="1:9" s="19" customFormat="1" ht="20.25" customHeight="1">
      <c r="A25" s="27"/>
      <c r="B25" s="26" t="s">
        <v>49</v>
      </c>
      <c r="C25" s="26" t="s">
        <v>328</v>
      </c>
      <c r="D25" s="61">
        <v>999395676905</v>
      </c>
      <c r="E25" s="30" t="s">
        <v>50</v>
      </c>
      <c r="F25" s="82">
        <v>197.48</v>
      </c>
      <c r="G25" s="82">
        <v>5.42</v>
      </c>
      <c r="H25" s="82">
        <v>1.19</v>
      </c>
      <c r="I25" s="83">
        <f t="shared" si="0"/>
        <v>204.08999999999997</v>
      </c>
    </row>
    <row r="26" spans="1:9" ht="20.25" customHeight="1">
      <c r="A26" s="27"/>
      <c r="B26" s="26" t="s">
        <v>51</v>
      </c>
      <c r="C26" s="93"/>
      <c r="D26" s="61">
        <v>999395677339</v>
      </c>
      <c r="E26" s="30" t="s">
        <v>52</v>
      </c>
      <c r="F26" s="8">
        <v>376.44</v>
      </c>
      <c r="G26" s="8">
        <v>10.77</v>
      </c>
      <c r="H26" s="8">
        <v>1.23</v>
      </c>
      <c r="I26" s="9">
        <f t="shared" si="0"/>
        <v>388.44</v>
      </c>
    </row>
    <row r="27" spans="1:9" ht="20.25" customHeight="1">
      <c r="A27" s="27"/>
      <c r="B27" s="26" t="s">
        <v>53</v>
      </c>
      <c r="C27" s="93"/>
      <c r="D27" s="61">
        <v>999395680029</v>
      </c>
      <c r="E27" s="30" t="s">
        <v>54</v>
      </c>
      <c r="F27" s="8">
        <v>268.61</v>
      </c>
      <c r="G27" s="8">
        <v>7.53</v>
      </c>
      <c r="H27" s="8">
        <v>1.23</v>
      </c>
      <c r="I27" s="9">
        <f t="shared" si="0"/>
        <v>277.37</v>
      </c>
    </row>
    <row r="28" spans="1:9" ht="20.25" customHeight="1">
      <c r="A28" s="27"/>
      <c r="B28" s="26" t="s">
        <v>55</v>
      </c>
      <c r="C28" s="26" t="s">
        <v>294</v>
      </c>
      <c r="D28" s="61">
        <v>999395682858</v>
      </c>
      <c r="E28" s="30" t="s">
        <v>56</v>
      </c>
      <c r="F28" s="8">
        <v>394.44</v>
      </c>
      <c r="G28" s="8">
        <v>11.31</v>
      </c>
      <c r="H28" s="8">
        <v>1.23</v>
      </c>
      <c r="I28" s="9">
        <f t="shared" si="0"/>
        <v>406.98</v>
      </c>
    </row>
    <row r="29" spans="1:9" ht="20.25" customHeight="1">
      <c r="A29" s="27"/>
      <c r="B29" s="26" t="s">
        <v>57</v>
      </c>
      <c r="C29" s="26" t="s">
        <v>295</v>
      </c>
      <c r="D29" s="12">
        <v>512095448</v>
      </c>
      <c r="E29" s="30" t="s">
        <v>58</v>
      </c>
      <c r="F29" s="8">
        <v>668.62</v>
      </c>
      <c r="G29" s="8">
        <v>19.53</v>
      </c>
      <c r="H29" s="8">
        <v>1.23</v>
      </c>
      <c r="I29" s="9">
        <f t="shared" si="0"/>
        <v>689.38</v>
      </c>
    </row>
    <row r="30" spans="1:9" ht="20.25" customHeight="1">
      <c r="A30" s="27"/>
      <c r="B30" s="26" t="s">
        <v>59</v>
      </c>
      <c r="C30" s="26" t="s">
        <v>296</v>
      </c>
      <c r="D30" s="61">
        <v>999395695033</v>
      </c>
      <c r="E30" s="30" t="s">
        <v>60</v>
      </c>
      <c r="F30" s="8">
        <v>419.11</v>
      </c>
      <c r="G30" s="8">
        <v>12.44</v>
      </c>
      <c r="H30" s="8">
        <v>0.31</v>
      </c>
      <c r="I30" s="9">
        <f t="shared" si="0"/>
        <v>431.86</v>
      </c>
    </row>
    <row r="31" spans="1:9" ht="20.25" customHeight="1">
      <c r="A31" s="27"/>
      <c r="B31" s="26" t="s">
        <v>61</v>
      </c>
      <c r="C31" s="26" t="s">
        <v>296</v>
      </c>
      <c r="D31" s="61">
        <v>999395696742</v>
      </c>
      <c r="E31" s="30" t="s">
        <v>62</v>
      </c>
      <c r="F31" s="8">
        <v>699.195</v>
      </c>
      <c r="G31" s="8">
        <v>20.845</v>
      </c>
      <c r="H31" s="8">
        <v>0.31</v>
      </c>
      <c r="I31" s="9">
        <f t="shared" si="0"/>
        <v>720.35</v>
      </c>
    </row>
    <row r="32" spans="1:9" ht="20.25" customHeight="1">
      <c r="A32" s="27"/>
      <c r="B32" s="26" t="s">
        <v>63</v>
      </c>
      <c r="C32" s="26" t="s">
        <v>308</v>
      </c>
      <c r="D32" s="61">
        <v>999395697615</v>
      </c>
      <c r="E32" s="30" t="s">
        <v>64</v>
      </c>
      <c r="F32" s="8">
        <f>856.88/2</f>
        <v>428.44</v>
      </c>
      <c r="G32" s="8">
        <f>25.38/2</f>
        <v>12.69</v>
      </c>
      <c r="H32" s="8">
        <f>0.76/2</f>
        <v>0.38</v>
      </c>
      <c r="I32" s="9">
        <f t="shared" si="0"/>
        <v>441.51</v>
      </c>
    </row>
    <row r="33" spans="1:9" ht="20.25" customHeight="1">
      <c r="A33" s="27"/>
      <c r="B33" s="26" t="s">
        <v>65</v>
      </c>
      <c r="C33" s="26" t="s">
        <v>297</v>
      </c>
      <c r="D33" s="61">
        <v>999395698321</v>
      </c>
      <c r="E33" s="30" t="s">
        <v>66</v>
      </c>
      <c r="F33" s="8">
        <f>892.01/2</f>
        <v>446.005</v>
      </c>
      <c r="G33" s="8">
        <f>26.41/2</f>
        <v>13.205</v>
      </c>
      <c r="H33" s="8">
        <f>0.81/2</f>
        <v>0.405</v>
      </c>
      <c r="I33" s="9">
        <f t="shared" si="0"/>
        <v>459.61499999999995</v>
      </c>
    </row>
    <row r="34" spans="1:9" ht="20.25" customHeight="1">
      <c r="A34" s="27"/>
      <c r="B34" s="26" t="s">
        <v>67</v>
      </c>
      <c r="C34" s="26" t="s">
        <v>309</v>
      </c>
      <c r="D34" s="62">
        <v>999395698661</v>
      </c>
      <c r="E34" s="31" t="s">
        <v>68</v>
      </c>
      <c r="F34" s="18">
        <f>423.21/2</f>
        <v>211.605</v>
      </c>
      <c r="G34" s="18">
        <f>12.35/2</f>
        <v>6.175</v>
      </c>
      <c r="H34" s="18">
        <f>0.8/2</f>
        <v>0.4</v>
      </c>
      <c r="I34" s="9">
        <f t="shared" si="0"/>
        <v>218.18</v>
      </c>
    </row>
    <row r="35" spans="1:9" ht="20.25" customHeight="1">
      <c r="A35" s="27"/>
      <c r="B35" s="26" t="s">
        <v>69</v>
      </c>
      <c r="C35" s="26"/>
      <c r="D35" s="61">
        <v>999395699042</v>
      </c>
      <c r="E35" s="30" t="s">
        <v>70</v>
      </c>
      <c r="F35" s="8">
        <f>1078.82/2</f>
        <v>539.41</v>
      </c>
      <c r="G35" s="8">
        <f>32.02/2</f>
        <v>16.01</v>
      </c>
      <c r="H35" s="8">
        <f>0.8/2</f>
        <v>0.4</v>
      </c>
      <c r="I35" s="9">
        <f t="shared" si="0"/>
        <v>555.8199999999999</v>
      </c>
    </row>
    <row r="36" spans="1:13" s="20" customFormat="1" ht="20.25" customHeight="1">
      <c r="A36" s="27"/>
      <c r="B36" s="26" t="s">
        <v>71</v>
      </c>
      <c r="C36" s="93"/>
      <c r="D36" s="61">
        <v>999395699192</v>
      </c>
      <c r="E36" s="30" t="s">
        <v>72</v>
      </c>
      <c r="F36" s="18">
        <f>444.63/2</f>
        <v>222.315</v>
      </c>
      <c r="G36" s="18">
        <f>12.99/2</f>
        <v>6.495</v>
      </c>
      <c r="H36" s="18">
        <f>0.81/2</f>
        <v>0.405</v>
      </c>
      <c r="I36" s="87">
        <f t="shared" si="0"/>
        <v>229.215</v>
      </c>
      <c r="J36" s="19"/>
      <c r="K36" s="19"/>
      <c r="L36" s="19"/>
      <c r="M36" s="19"/>
    </row>
    <row r="37" spans="1:13" ht="20.25" customHeight="1">
      <c r="A37" s="27"/>
      <c r="B37" s="26" t="s">
        <v>73</v>
      </c>
      <c r="C37" s="93"/>
      <c r="D37" s="61">
        <v>999395699382</v>
      </c>
      <c r="E37" s="30" t="s">
        <v>74</v>
      </c>
      <c r="F37" s="8">
        <f>508.31/2</f>
        <v>254.155</v>
      </c>
      <c r="G37" s="8">
        <f>14.9/2</f>
        <v>7.45</v>
      </c>
      <c r="H37" s="8">
        <f>0.81/2</f>
        <v>0.405</v>
      </c>
      <c r="I37" s="9">
        <f t="shared" si="0"/>
        <v>262.01</v>
      </c>
      <c r="J37" s="19"/>
      <c r="K37" s="19"/>
      <c r="L37" s="19"/>
      <c r="M37" s="19"/>
    </row>
    <row r="38" spans="1:13" ht="20.25" customHeight="1">
      <c r="A38" s="27"/>
      <c r="B38" s="26" t="s">
        <v>75</v>
      </c>
      <c r="C38" s="26" t="s">
        <v>298</v>
      </c>
      <c r="D38" s="61">
        <v>999395699631</v>
      </c>
      <c r="E38" s="30" t="s">
        <v>76</v>
      </c>
      <c r="F38" s="8">
        <f>157.28/2</f>
        <v>78.64</v>
      </c>
      <c r="G38" s="8">
        <f>4.36/2</f>
        <v>2.18</v>
      </c>
      <c r="H38" s="8">
        <f>0.84/2</f>
        <v>0.42</v>
      </c>
      <c r="I38" s="9">
        <f t="shared" si="0"/>
        <v>81.24000000000001</v>
      </c>
      <c r="J38" s="19"/>
      <c r="K38" s="19"/>
      <c r="L38" s="19"/>
      <c r="M38" s="19"/>
    </row>
    <row r="39" spans="1:13" ht="20.25" customHeight="1">
      <c r="A39" s="27"/>
      <c r="B39" s="26" t="s">
        <v>77</v>
      </c>
      <c r="C39" s="93"/>
      <c r="D39" s="61">
        <v>999395699855</v>
      </c>
      <c r="E39" s="30" t="s">
        <v>78</v>
      </c>
      <c r="F39" s="8">
        <f>353.22/2</f>
        <v>176.61</v>
      </c>
      <c r="G39" s="8">
        <f>10.25/2</f>
        <v>5.125</v>
      </c>
      <c r="H39" s="8">
        <f>0.8/2</f>
        <v>0.4</v>
      </c>
      <c r="I39" s="9">
        <f t="shared" si="0"/>
        <v>182.13500000000002</v>
      </c>
      <c r="J39" s="19"/>
      <c r="K39" s="19"/>
      <c r="L39" s="19"/>
      <c r="M39" s="19"/>
    </row>
    <row r="40" spans="1:13" ht="20.25" customHeight="1">
      <c r="A40" s="27"/>
      <c r="B40" s="26" t="s">
        <v>79</v>
      </c>
      <c r="C40" s="26" t="s">
        <v>299</v>
      </c>
      <c r="D40" s="61">
        <v>999395699914</v>
      </c>
      <c r="E40" s="30" t="s">
        <v>80</v>
      </c>
      <c r="F40" s="8">
        <f>591.15/2</f>
        <v>295.575</v>
      </c>
      <c r="G40" s="8">
        <f>17.38/2</f>
        <v>8.69</v>
      </c>
      <c r="H40" s="8">
        <f>0.84/2</f>
        <v>0.42</v>
      </c>
      <c r="I40" s="9">
        <f t="shared" si="0"/>
        <v>304.685</v>
      </c>
      <c r="J40" s="19"/>
      <c r="K40" s="19"/>
      <c r="L40" s="19"/>
      <c r="M40" s="19"/>
    </row>
    <row r="41" spans="1:13" ht="20.25" customHeight="1">
      <c r="A41" s="27"/>
      <c r="B41" s="26" t="s">
        <v>81</v>
      </c>
      <c r="C41" s="26" t="s">
        <v>329</v>
      </c>
      <c r="D41" s="61">
        <v>999395720675</v>
      </c>
      <c r="E41" s="30" t="s">
        <v>82</v>
      </c>
      <c r="F41" s="8">
        <f>1177.49/2</f>
        <v>588.745</v>
      </c>
      <c r="G41" s="8">
        <f>34.98/2</f>
        <v>17.49</v>
      </c>
      <c r="H41" s="8">
        <f>0.8/2</f>
        <v>0.4</v>
      </c>
      <c r="I41" s="9">
        <f t="shared" si="0"/>
        <v>606.635</v>
      </c>
      <c r="J41" s="19"/>
      <c r="K41" s="19"/>
      <c r="L41" s="19"/>
      <c r="M41" s="19"/>
    </row>
    <row r="42" spans="1:13" ht="20.25" customHeight="1">
      <c r="A42" s="27"/>
      <c r="B42" s="26" t="s">
        <v>83</v>
      </c>
      <c r="C42" s="26" t="s">
        <v>300</v>
      </c>
      <c r="D42" s="61">
        <v>999395721493</v>
      </c>
      <c r="E42" s="30" t="s">
        <v>84</v>
      </c>
      <c r="F42" s="8">
        <f>809.73/2</f>
        <v>404.865</v>
      </c>
      <c r="G42" s="8">
        <f>23.93/2</f>
        <v>11.965</v>
      </c>
      <c r="H42" s="8">
        <f>0.84/2</f>
        <v>0.42</v>
      </c>
      <c r="I42" s="9">
        <f t="shared" si="0"/>
        <v>417.25</v>
      </c>
      <c r="J42" s="19"/>
      <c r="K42" s="19"/>
      <c r="L42" s="19"/>
      <c r="M42" s="19"/>
    </row>
    <row r="43" spans="1:13" ht="20.25" customHeight="1">
      <c r="A43" s="27"/>
      <c r="B43" s="26" t="s">
        <v>85</v>
      </c>
      <c r="C43" s="26"/>
      <c r="D43" s="61">
        <v>999395728957</v>
      </c>
      <c r="E43" s="30" t="s">
        <v>86</v>
      </c>
      <c r="F43" s="8">
        <f>193.28/2</f>
        <v>96.64</v>
      </c>
      <c r="G43" s="8">
        <f>5.46/2</f>
        <v>2.73</v>
      </c>
      <c r="H43" s="8">
        <f>0.79/2</f>
        <v>0.395</v>
      </c>
      <c r="I43" s="9">
        <f t="shared" si="0"/>
        <v>99.765</v>
      </c>
      <c r="J43" s="19"/>
      <c r="K43" s="19"/>
      <c r="L43" s="19"/>
      <c r="M43" s="19"/>
    </row>
    <row r="44" spans="1:13" ht="20.25" customHeight="1">
      <c r="A44" s="27"/>
      <c r="B44" s="26" t="s">
        <v>87</v>
      </c>
      <c r="C44" s="26" t="s">
        <v>330</v>
      </c>
      <c r="D44" s="61">
        <v>999395729357</v>
      </c>
      <c r="E44" s="30" t="s">
        <v>88</v>
      </c>
      <c r="F44" s="8">
        <f>291.32/2</f>
        <v>145.66</v>
      </c>
      <c r="G44" s="8">
        <f>8.43/2</f>
        <v>4.215</v>
      </c>
      <c r="H44" s="8">
        <f>0.73/2</f>
        <v>0.365</v>
      </c>
      <c r="I44" s="9">
        <f t="shared" si="0"/>
        <v>150.24</v>
      </c>
      <c r="J44" s="19"/>
      <c r="K44" s="19"/>
      <c r="L44" s="19"/>
      <c r="M44" s="19"/>
    </row>
    <row r="45" spans="1:13" ht="20.25" customHeight="1">
      <c r="A45" s="27"/>
      <c r="B45" s="26" t="s">
        <v>89</v>
      </c>
      <c r="C45" s="93"/>
      <c r="D45" s="61">
        <v>999395729815</v>
      </c>
      <c r="E45" s="30" t="s">
        <v>90</v>
      </c>
      <c r="F45" s="8">
        <f>258.69/2</f>
        <v>129.345</v>
      </c>
      <c r="G45" s="8">
        <f>7.4/2</f>
        <v>3.7</v>
      </c>
      <c r="H45" s="8">
        <f>0.84/2</f>
        <v>0.42</v>
      </c>
      <c r="I45" s="9">
        <f t="shared" si="0"/>
        <v>133.46499999999997</v>
      </c>
      <c r="J45" s="19"/>
      <c r="K45" s="19"/>
      <c r="L45" s="19"/>
      <c r="M45" s="19"/>
    </row>
    <row r="46" spans="1:13" ht="20.25" customHeight="1">
      <c r="A46" s="27"/>
      <c r="B46" s="26" t="s">
        <v>94</v>
      </c>
      <c r="C46" s="26" t="s">
        <v>331</v>
      </c>
      <c r="D46" s="61">
        <v>999395730546</v>
      </c>
      <c r="E46" s="30" t="s">
        <v>91</v>
      </c>
      <c r="F46" s="8">
        <f>101.63/2</f>
        <v>50.815</v>
      </c>
      <c r="G46" s="8">
        <f>2.71/2</f>
        <v>1.355</v>
      </c>
      <c r="H46" s="8">
        <f>0.8/2</f>
        <v>0.4</v>
      </c>
      <c r="I46" s="9">
        <f t="shared" si="0"/>
        <v>52.56999999999999</v>
      </c>
      <c r="J46" s="19"/>
      <c r="K46" s="19"/>
      <c r="L46" s="19"/>
      <c r="M46" s="19"/>
    </row>
    <row r="47" spans="1:13" ht="20.25" customHeight="1">
      <c r="A47" s="27"/>
      <c r="B47" s="26" t="s">
        <v>92</v>
      </c>
      <c r="C47" s="26" t="s">
        <v>319</v>
      </c>
      <c r="D47" s="61">
        <v>999395731005</v>
      </c>
      <c r="E47" s="32" t="s">
        <v>93</v>
      </c>
      <c r="F47" s="8">
        <f>267.81/2</f>
        <v>133.905</v>
      </c>
      <c r="G47" s="8">
        <f>7.7/2</f>
        <v>3.85</v>
      </c>
      <c r="H47" s="8">
        <f>0.79/2</f>
        <v>0.395</v>
      </c>
      <c r="I47" s="9">
        <f t="shared" si="0"/>
        <v>138.15</v>
      </c>
      <c r="J47" s="19"/>
      <c r="K47" s="19"/>
      <c r="L47" s="19"/>
      <c r="M47" s="19"/>
    </row>
    <row r="48" spans="1:13" ht="20.25" customHeight="1">
      <c r="A48" s="27"/>
      <c r="B48" s="26" t="s">
        <v>95</v>
      </c>
      <c r="C48" s="93"/>
      <c r="D48" s="61">
        <v>999395731797</v>
      </c>
      <c r="E48" s="30" t="s">
        <v>96</v>
      </c>
      <c r="F48" s="8">
        <f>227.41/2</f>
        <v>113.705</v>
      </c>
      <c r="G48" s="8">
        <f>6.5/2</f>
        <v>3.25</v>
      </c>
      <c r="H48" s="8">
        <f>0.76/2</f>
        <v>0.38</v>
      </c>
      <c r="I48" s="9">
        <f t="shared" si="0"/>
        <v>117.335</v>
      </c>
      <c r="J48" s="19"/>
      <c r="K48" s="19"/>
      <c r="L48" s="19"/>
      <c r="M48" s="19"/>
    </row>
    <row r="49" spans="1:13" ht="20.25" customHeight="1">
      <c r="A49" s="27"/>
      <c r="B49" s="26" t="s">
        <v>97</v>
      </c>
      <c r="C49" s="26"/>
      <c r="D49" s="61">
        <v>999395850272</v>
      </c>
      <c r="E49" s="30" t="s">
        <v>98</v>
      </c>
      <c r="F49" s="8">
        <v>945.89</v>
      </c>
      <c r="G49" s="8">
        <v>27.85</v>
      </c>
      <c r="H49" s="8">
        <v>1.23</v>
      </c>
      <c r="I49" s="9">
        <f t="shared" si="0"/>
        <v>974.97</v>
      </c>
      <c r="J49" s="19"/>
      <c r="K49" s="19"/>
      <c r="L49" s="19"/>
      <c r="M49" s="19"/>
    </row>
    <row r="50" spans="1:13" ht="20.25" customHeight="1">
      <c r="A50" s="27"/>
      <c r="B50" s="26" t="s">
        <v>99</v>
      </c>
      <c r="C50" s="93"/>
      <c r="D50" s="61">
        <v>999395869847</v>
      </c>
      <c r="E50" s="30" t="s">
        <v>100</v>
      </c>
      <c r="F50" s="8">
        <v>458.93</v>
      </c>
      <c r="G50" s="8">
        <v>13.54</v>
      </c>
      <c r="H50" s="8">
        <v>0.53</v>
      </c>
      <c r="I50" s="9">
        <f t="shared" si="0"/>
        <v>473</v>
      </c>
      <c r="J50" s="19"/>
      <c r="K50" s="19"/>
      <c r="L50" s="19"/>
      <c r="M50" s="19"/>
    </row>
    <row r="51" spans="1:13" ht="20.25" customHeight="1">
      <c r="A51" s="27"/>
      <c r="B51" s="26" t="s">
        <v>101</v>
      </c>
      <c r="C51" s="26" t="s">
        <v>371</v>
      </c>
      <c r="D51" s="12">
        <v>83007836944</v>
      </c>
      <c r="E51" s="30" t="s">
        <v>102</v>
      </c>
      <c r="F51" s="8">
        <f>252.54/2</f>
        <v>126.27</v>
      </c>
      <c r="G51" s="8">
        <f>7.26/2</f>
        <v>3.63</v>
      </c>
      <c r="H51" s="8">
        <f>0.75/2</f>
        <v>0.375</v>
      </c>
      <c r="I51" s="9">
        <f t="shared" si="0"/>
        <v>130.275</v>
      </c>
      <c r="J51" s="19"/>
      <c r="K51" s="19"/>
      <c r="L51" s="19"/>
      <c r="M51" s="19"/>
    </row>
    <row r="52" spans="1:13" ht="20.25" customHeight="1">
      <c r="A52" s="27"/>
      <c r="B52" s="26" t="s">
        <v>103</v>
      </c>
      <c r="C52" s="26" t="s">
        <v>286</v>
      </c>
      <c r="D52" s="61">
        <v>999418107083</v>
      </c>
      <c r="E52" s="30" t="s">
        <v>104</v>
      </c>
      <c r="F52" s="8">
        <f>2148.69/2</f>
        <v>1074.345</v>
      </c>
      <c r="G52" s="8">
        <f>64.12/2</f>
        <v>32.06</v>
      </c>
      <c r="H52" s="8">
        <f>0.79/2</f>
        <v>0.395</v>
      </c>
      <c r="I52" s="9">
        <f t="shared" si="0"/>
        <v>1106.8</v>
      </c>
      <c r="J52" s="19"/>
      <c r="K52" s="19"/>
      <c r="L52" s="19"/>
      <c r="M52" s="19"/>
    </row>
    <row r="53" spans="1:13" ht="20.25" customHeight="1">
      <c r="A53" s="27"/>
      <c r="B53" s="26" t="s">
        <v>105</v>
      </c>
      <c r="C53" s="26" t="s">
        <v>332</v>
      </c>
      <c r="D53" s="61">
        <v>999418108530</v>
      </c>
      <c r="E53" s="30" t="s">
        <v>106</v>
      </c>
      <c r="F53" s="8">
        <v>314.04</v>
      </c>
      <c r="G53" s="8">
        <v>8.89</v>
      </c>
      <c r="H53" s="8">
        <v>1.23</v>
      </c>
      <c r="I53" s="9">
        <f t="shared" si="0"/>
        <v>324.16</v>
      </c>
      <c r="J53" s="19"/>
      <c r="K53" s="19"/>
      <c r="L53" s="19"/>
      <c r="M53" s="19"/>
    </row>
    <row r="54" spans="1:13" ht="20.25" customHeight="1">
      <c r="A54" s="27"/>
      <c r="B54" s="26" t="s">
        <v>107</v>
      </c>
      <c r="C54" s="26" t="s">
        <v>302</v>
      </c>
      <c r="D54" s="61">
        <v>999444028261</v>
      </c>
      <c r="E54" s="30" t="s">
        <v>108</v>
      </c>
      <c r="F54" s="8">
        <v>111.64</v>
      </c>
      <c r="G54" s="8">
        <v>2.82</v>
      </c>
      <c r="H54" s="8">
        <v>1.23</v>
      </c>
      <c r="I54" s="9">
        <f t="shared" si="0"/>
        <v>115.69</v>
      </c>
      <c r="J54" s="19"/>
      <c r="K54" s="19"/>
      <c r="L54" s="19"/>
      <c r="M54" s="19"/>
    </row>
    <row r="55" spans="1:13" ht="20.25" customHeight="1">
      <c r="A55" s="27"/>
      <c r="B55" s="26" t="s">
        <v>109</v>
      </c>
      <c r="C55" s="26" t="s">
        <v>313</v>
      </c>
      <c r="D55" s="12">
        <v>83000769293</v>
      </c>
      <c r="E55" s="30" t="s">
        <v>110</v>
      </c>
      <c r="F55" s="8">
        <v>289.93</v>
      </c>
      <c r="G55" s="8">
        <v>8.17</v>
      </c>
      <c r="H55" s="8">
        <v>1.23</v>
      </c>
      <c r="I55" s="9">
        <f t="shared" si="0"/>
        <v>299.33000000000004</v>
      </c>
      <c r="J55" s="19"/>
      <c r="K55" s="19"/>
      <c r="L55" s="19"/>
      <c r="M55" s="19"/>
    </row>
    <row r="56" spans="1:9" s="19" customFormat="1" ht="20.25" customHeight="1">
      <c r="A56" s="27"/>
      <c r="B56" s="35" t="s">
        <v>125</v>
      </c>
      <c r="C56" s="94"/>
      <c r="D56" s="36">
        <v>60006203645</v>
      </c>
      <c r="E56" s="37" t="s">
        <v>126</v>
      </c>
      <c r="F56" s="8">
        <v>22.14</v>
      </c>
      <c r="G56" s="8">
        <v>0.64</v>
      </c>
      <c r="H56" s="8">
        <v>0.05</v>
      </c>
      <c r="I56" s="9">
        <f t="shared" si="0"/>
        <v>22.830000000000002</v>
      </c>
    </row>
    <row r="57" spans="1:13" s="29" customFormat="1" ht="20.25" customHeight="1">
      <c r="A57" s="27"/>
      <c r="B57" s="26" t="s">
        <v>127</v>
      </c>
      <c r="C57" s="93"/>
      <c r="D57" s="12">
        <v>60007966411</v>
      </c>
      <c r="E57" s="30" t="s">
        <v>128</v>
      </c>
      <c r="F57" s="8">
        <v>65</v>
      </c>
      <c r="G57" s="8">
        <v>1.93</v>
      </c>
      <c r="H57" s="8">
        <v>0.05</v>
      </c>
      <c r="I57" s="9">
        <f t="shared" si="0"/>
        <v>66.98</v>
      </c>
      <c r="J57" s="19"/>
      <c r="K57" s="19"/>
      <c r="L57" s="19"/>
      <c r="M57" s="19"/>
    </row>
    <row r="58" spans="1:13" s="29" customFormat="1" ht="20.25" customHeight="1">
      <c r="A58" s="27"/>
      <c r="B58" s="26" t="s">
        <v>129</v>
      </c>
      <c r="C58" s="26" t="s">
        <v>289</v>
      </c>
      <c r="D58" s="12">
        <v>60006643135</v>
      </c>
      <c r="E58" s="30" t="s">
        <v>130</v>
      </c>
      <c r="F58" s="8">
        <f>106.45/2</f>
        <v>53.225</v>
      </c>
      <c r="G58" s="8">
        <f>3.16/2</f>
        <v>1.58</v>
      </c>
      <c r="H58" s="8">
        <f>0.08/2</f>
        <v>0.04</v>
      </c>
      <c r="I58" s="9">
        <f t="shared" si="0"/>
        <v>54.845</v>
      </c>
      <c r="J58" s="19"/>
      <c r="K58" s="19"/>
      <c r="L58" s="19"/>
      <c r="M58" s="19"/>
    </row>
    <row r="59" spans="1:13" ht="20.25" customHeight="1">
      <c r="A59" s="27"/>
      <c r="B59" s="26" t="s">
        <v>131</v>
      </c>
      <c r="C59" s="93"/>
      <c r="D59" s="12">
        <v>60007843244</v>
      </c>
      <c r="E59" s="30" t="s">
        <v>132</v>
      </c>
      <c r="F59" s="8">
        <f>82.24/2</f>
        <v>41.12</v>
      </c>
      <c r="G59" s="8">
        <f>2.44/2</f>
        <v>1.22</v>
      </c>
      <c r="H59" s="8">
        <f>0.07/2</f>
        <v>0.035</v>
      </c>
      <c r="I59" s="9">
        <f aca="true" t="shared" si="1" ref="I59:I119">SUM(F59:H59)</f>
        <v>42.37499999999999</v>
      </c>
      <c r="J59" s="19"/>
      <c r="K59" s="19"/>
      <c r="L59" s="19"/>
      <c r="M59" s="19"/>
    </row>
    <row r="60" spans="1:13" ht="20.25" customHeight="1">
      <c r="A60" s="27"/>
      <c r="B60" s="26" t="s">
        <v>133</v>
      </c>
      <c r="C60" s="26" t="s">
        <v>322</v>
      </c>
      <c r="D60" s="12">
        <v>60007843069</v>
      </c>
      <c r="E60" s="30" t="s">
        <v>134</v>
      </c>
      <c r="F60" s="8">
        <f>136.72/2</f>
        <v>68.36</v>
      </c>
      <c r="G60" s="8">
        <f>4.01/2</f>
        <v>2.005</v>
      </c>
      <c r="H60" s="8">
        <f>0.22/2</f>
        <v>0.11</v>
      </c>
      <c r="I60" s="9">
        <f t="shared" si="1"/>
        <v>70.475</v>
      </c>
      <c r="J60" s="19"/>
      <c r="K60" s="19"/>
      <c r="L60" s="19"/>
      <c r="M60" s="19"/>
    </row>
    <row r="61" spans="1:13" ht="20.25" customHeight="1">
      <c r="A61" s="27"/>
      <c r="B61" s="26" t="s">
        <v>135</v>
      </c>
      <c r="C61" s="26" t="s">
        <v>353</v>
      </c>
      <c r="D61" s="12">
        <v>60007843073</v>
      </c>
      <c r="E61" s="30" t="s">
        <v>136</v>
      </c>
      <c r="F61" s="8">
        <f>133.63/2</f>
        <v>66.815</v>
      </c>
      <c r="G61" s="8">
        <f>3.98/2</f>
        <v>1.99</v>
      </c>
      <c r="H61" s="8">
        <f>0.08/2</f>
        <v>0.04</v>
      </c>
      <c r="I61" s="9">
        <f t="shared" si="1"/>
        <v>68.845</v>
      </c>
      <c r="J61" s="19"/>
      <c r="K61" s="19"/>
      <c r="L61" s="19"/>
      <c r="M61" s="19"/>
    </row>
    <row r="62" spans="1:13" ht="20.25" customHeight="1">
      <c r="A62" s="27"/>
      <c r="B62" s="26" t="s">
        <v>137</v>
      </c>
      <c r="C62" s="93"/>
      <c r="D62" s="12">
        <v>60007843356</v>
      </c>
      <c r="E62" s="30" t="s">
        <v>138</v>
      </c>
      <c r="F62" s="8">
        <f>29.25/2</f>
        <v>14.625</v>
      </c>
      <c r="G62" s="8">
        <f>0.85/2</f>
        <v>0.425</v>
      </c>
      <c r="H62" s="8">
        <f>0.07/2</f>
        <v>0.035</v>
      </c>
      <c r="I62" s="9">
        <f t="shared" si="1"/>
        <v>15.085</v>
      </c>
      <c r="J62" s="19"/>
      <c r="K62" s="19"/>
      <c r="L62" s="19"/>
      <c r="M62" s="19"/>
    </row>
    <row r="63" spans="1:13" ht="20.25" customHeight="1">
      <c r="A63" s="27"/>
      <c r="B63" s="26" t="s">
        <v>139</v>
      </c>
      <c r="C63" s="93"/>
      <c r="D63" s="12">
        <v>60007847274</v>
      </c>
      <c r="E63" s="30" t="s">
        <v>140</v>
      </c>
      <c r="F63" s="8">
        <f>69.92/2</f>
        <v>34.96</v>
      </c>
      <c r="G63" s="8">
        <f>2/2</f>
        <v>1</v>
      </c>
      <c r="H63" s="8">
        <f>0.22/2</f>
        <v>0.11</v>
      </c>
      <c r="I63" s="9">
        <f t="shared" si="1"/>
        <v>36.07</v>
      </c>
      <c r="J63" s="19"/>
      <c r="K63" s="19"/>
      <c r="L63" s="19"/>
      <c r="M63" s="19"/>
    </row>
    <row r="64" spans="1:13" ht="20.25" customHeight="1">
      <c r="A64" s="27"/>
      <c r="B64" s="26" t="s">
        <v>141</v>
      </c>
      <c r="C64" s="93"/>
      <c r="D64" s="12">
        <v>60007847482</v>
      </c>
      <c r="E64" s="30" t="s">
        <v>142</v>
      </c>
      <c r="F64" s="8">
        <v>67.33</v>
      </c>
      <c r="G64" s="8">
        <v>1.99</v>
      </c>
      <c r="H64" s="8">
        <v>0.07</v>
      </c>
      <c r="I64" s="9">
        <f t="shared" si="1"/>
        <v>69.38999999999999</v>
      </c>
      <c r="J64" s="19"/>
      <c r="K64" s="19"/>
      <c r="L64" s="19"/>
      <c r="M64" s="19"/>
    </row>
    <row r="65" spans="1:13" ht="20.25" customHeight="1">
      <c r="A65" s="27"/>
      <c r="B65" s="26" t="s">
        <v>143</v>
      </c>
      <c r="C65" s="26" t="s">
        <v>323</v>
      </c>
      <c r="D65" s="12">
        <v>60007858040</v>
      </c>
      <c r="E65" s="78" t="s">
        <v>144</v>
      </c>
      <c r="F65" s="8">
        <v>23.91</v>
      </c>
      <c r="G65" s="8">
        <v>0.68</v>
      </c>
      <c r="H65" s="8">
        <v>0.09</v>
      </c>
      <c r="I65" s="9">
        <f t="shared" si="1"/>
        <v>24.68</v>
      </c>
      <c r="J65" s="19"/>
      <c r="K65" s="19"/>
      <c r="L65" s="19"/>
      <c r="M65" s="19"/>
    </row>
    <row r="66" spans="1:13" ht="20.25" customHeight="1">
      <c r="A66" s="27"/>
      <c r="B66" s="43" t="s">
        <v>145</v>
      </c>
      <c r="C66" s="43" t="s">
        <v>358</v>
      </c>
      <c r="D66" s="44">
        <v>60007889355</v>
      </c>
      <c r="E66" s="37" t="s">
        <v>146</v>
      </c>
      <c r="F66" s="18">
        <f>59.08/2</f>
        <v>29.54</v>
      </c>
      <c r="G66" s="18">
        <f>1.74/2</f>
        <v>0.87</v>
      </c>
      <c r="H66" s="18">
        <f>0.08/2</f>
        <v>0.04</v>
      </c>
      <c r="I66" s="9">
        <f t="shared" si="1"/>
        <v>30.45</v>
      </c>
      <c r="J66" s="19"/>
      <c r="K66" s="19"/>
      <c r="L66" s="19"/>
      <c r="M66" s="19"/>
    </row>
    <row r="67" spans="1:13" ht="20.25" customHeight="1">
      <c r="A67" s="39"/>
      <c r="B67" s="41" t="s">
        <v>147</v>
      </c>
      <c r="C67" s="41" t="s">
        <v>311</v>
      </c>
      <c r="D67" s="40">
        <v>60007899611</v>
      </c>
      <c r="E67" s="42" t="s">
        <v>148</v>
      </c>
      <c r="F67" s="18">
        <v>101.52</v>
      </c>
      <c r="G67" s="18">
        <v>3.01</v>
      </c>
      <c r="H67" s="18">
        <v>0.09</v>
      </c>
      <c r="I67" s="9">
        <f t="shared" si="1"/>
        <v>104.62</v>
      </c>
      <c r="J67" s="19"/>
      <c r="K67" s="19"/>
      <c r="L67" s="19"/>
      <c r="M67" s="19"/>
    </row>
    <row r="68" spans="1:13" s="29" customFormat="1" ht="20.25" customHeight="1">
      <c r="A68" s="27"/>
      <c r="B68" s="26" t="s">
        <v>149</v>
      </c>
      <c r="C68" s="93"/>
      <c r="D68" s="12">
        <v>60008073286</v>
      </c>
      <c r="E68" s="30" t="s">
        <v>150</v>
      </c>
      <c r="F68" s="8">
        <f>23.12/2</f>
        <v>11.56</v>
      </c>
      <c r="G68" s="8">
        <f>0.6/2</f>
        <v>0.3</v>
      </c>
      <c r="H68" s="8">
        <f>0.21/2</f>
        <v>0.105</v>
      </c>
      <c r="I68" s="9">
        <f t="shared" si="1"/>
        <v>11.965000000000002</v>
      </c>
      <c r="J68" s="19"/>
      <c r="K68" s="19"/>
      <c r="L68" s="19"/>
      <c r="M68" s="19"/>
    </row>
    <row r="69" spans="1:13" s="20" customFormat="1" ht="20.25" customHeight="1">
      <c r="A69" s="27"/>
      <c r="B69" s="26" t="s">
        <v>151</v>
      </c>
      <c r="C69" s="26"/>
      <c r="D69" s="12">
        <v>60008101006</v>
      </c>
      <c r="E69" s="30" t="s">
        <v>152</v>
      </c>
      <c r="F69" s="8">
        <v>35.86</v>
      </c>
      <c r="G69" s="8">
        <v>1.03</v>
      </c>
      <c r="H69" s="8">
        <v>0.11</v>
      </c>
      <c r="I69" s="9">
        <f t="shared" si="1"/>
        <v>37</v>
      </c>
      <c r="J69" s="19"/>
      <c r="K69" s="19"/>
      <c r="L69" s="19"/>
      <c r="M69" s="19"/>
    </row>
    <row r="70" spans="1:13" s="20" customFormat="1" ht="20.25" customHeight="1">
      <c r="A70" s="27"/>
      <c r="B70" s="26" t="s">
        <v>153</v>
      </c>
      <c r="C70" s="26" t="s">
        <v>359</v>
      </c>
      <c r="D70" s="12">
        <v>60008115357</v>
      </c>
      <c r="E70" s="30" t="s">
        <v>154</v>
      </c>
      <c r="F70" s="8">
        <v>64.37</v>
      </c>
      <c r="G70" s="8">
        <v>1.91</v>
      </c>
      <c r="H70" s="8">
        <v>0.06</v>
      </c>
      <c r="I70" s="9">
        <f t="shared" si="1"/>
        <v>66.34</v>
      </c>
      <c r="J70" s="19"/>
      <c r="K70" s="19"/>
      <c r="L70" s="19"/>
      <c r="M70" s="19"/>
    </row>
    <row r="71" spans="1:13" s="20" customFormat="1" ht="20.25" customHeight="1">
      <c r="A71" s="27"/>
      <c r="B71" s="26" t="s">
        <v>155</v>
      </c>
      <c r="C71" s="26" t="s">
        <v>312</v>
      </c>
      <c r="D71" s="12">
        <v>60008450632</v>
      </c>
      <c r="E71" s="30" t="s">
        <v>156</v>
      </c>
      <c r="F71" s="8">
        <v>17.68</v>
      </c>
      <c r="G71" s="8">
        <v>0.51</v>
      </c>
      <c r="H71" s="8">
        <v>0.06</v>
      </c>
      <c r="I71" s="9">
        <f t="shared" si="1"/>
        <v>18.25</v>
      </c>
      <c r="J71" s="19"/>
      <c r="K71" s="19"/>
      <c r="L71" s="19"/>
      <c r="M71" s="19"/>
    </row>
    <row r="72" spans="1:9" ht="20.25" customHeight="1">
      <c r="A72" s="27"/>
      <c r="B72" s="26" t="s">
        <v>157</v>
      </c>
      <c r="C72" s="26" t="s">
        <v>360</v>
      </c>
      <c r="D72" s="12">
        <v>60008427213</v>
      </c>
      <c r="E72" s="30" t="s">
        <v>158</v>
      </c>
      <c r="F72" s="8">
        <f>44.99/2</f>
        <v>22.495</v>
      </c>
      <c r="G72" s="8">
        <f>1.32/2</f>
        <v>0.66</v>
      </c>
      <c r="H72" s="8">
        <f>0.07/2</f>
        <v>0.035</v>
      </c>
      <c r="I72" s="9">
        <f t="shared" si="1"/>
        <v>23.19</v>
      </c>
    </row>
    <row r="73" spans="1:9" ht="20.25" customHeight="1">
      <c r="A73" s="27"/>
      <c r="B73" s="26" t="s">
        <v>159</v>
      </c>
      <c r="C73" s="26" t="s">
        <v>361</v>
      </c>
      <c r="D73" s="12">
        <v>60008475541</v>
      </c>
      <c r="E73" s="30" t="s">
        <v>160</v>
      </c>
      <c r="F73" s="8">
        <f>138.14/2</f>
        <v>69.07</v>
      </c>
      <c r="G73" s="8">
        <f>4.11/2</f>
        <v>2.055</v>
      </c>
      <c r="H73" s="8">
        <f>0.07/2</f>
        <v>0.035</v>
      </c>
      <c r="I73" s="9">
        <f t="shared" si="1"/>
        <v>71.16</v>
      </c>
    </row>
    <row r="74" spans="1:9" ht="20.25" customHeight="1">
      <c r="A74" s="27"/>
      <c r="B74" s="26" t="s">
        <v>161</v>
      </c>
      <c r="C74" s="93"/>
      <c r="D74" s="12">
        <v>60008368817</v>
      </c>
      <c r="E74" s="30" t="s">
        <v>162</v>
      </c>
      <c r="F74" s="8">
        <v>31.18</v>
      </c>
      <c r="G74" s="8">
        <v>0.91</v>
      </c>
      <c r="H74" s="8">
        <v>0.06</v>
      </c>
      <c r="I74" s="9">
        <f t="shared" si="1"/>
        <v>32.15</v>
      </c>
    </row>
    <row r="75" spans="1:9" ht="20.25" customHeight="1">
      <c r="A75" s="27"/>
      <c r="B75" s="26" t="s">
        <v>163</v>
      </c>
      <c r="C75" s="26" t="s">
        <v>372</v>
      </c>
      <c r="D75" s="12">
        <v>60091069643</v>
      </c>
      <c r="E75" s="30" t="s">
        <v>164</v>
      </c>
      <c r="F75" s="8">
        <v>21.3</v>
      </c>
      <c r="G75" s="8">
        <v>0.61</v>
      </c>
      <c r="H75" s="8">
        <v>0.06</v>
      </c>
      <c r="I75" s="9">
        <f t="shared" si="1"/>
        <v>21.97</v>
      </c>
    </row>
    <row r="76" spans="1:9" ht="20.25" customHeight="1">
      <c r="A76" s="27"/>
      <c r="B76" s="26" t="s">
        <v>165</v>
      </c>
      <c r="C76" s="26" t="s">
        <v>363</v>
      </c>
      <c r="D76" s="12">
        <v>60089709450</v>
      </c>
      <c r="E76" s="30" t="s">
        <v>166</v>
      </c>
      <c r="F76" s="8">
        <v>28.89</v>
      </c>
      <c r="G76" s="8">
        <v>0.84</v>
      </c>
      <c r="H76" s="8">
        <v>0.06</v>
      </c>
      <c r="I76" s="9">
        <f t="shared" si="1"/>
        <v>29.79</v>
      </c>
    </row>
    <row r="77" spans="1:9" ht="20.25" customHeight="1">
      <c r="A77" s="27"/>
      <c r="B77" s="26" t="s">
        <v>167</v>
      </c>
      <c r="C77" s="26" t="s">
        <v>362</v>
      </c>
      <c r="D77" s="12">
        <v>60089553056</v>
      </c>
      <c r="E77" s="30" t="s">
        <v>168</v>
      </c>
      <c r="F77" s="8">
        <f>393.86/2</f>
        <v>196.93</v>
      </c>
      <c r="G77" s="8">
        <f>11.73/2</f>
        <v>5.865</v>
      </c>
      <c r="H77" s="8">
        <f>0.2/2</f>
        <v>0.1</v>
      </c>
      <c r="I77" s="9">
        <f t="shared" si="1"/>
        <v>202.895</v>
      </c>
    </row>
    <row r="78" spans="1:9" ht="20.25" customHeight="1">
      <c r="A78" s="27"/>
      <c r="B78" s="26" t="s">
        <v>169</v>
      </c>
      <c r="C78" s="26" t="s">
        <v>364</v>
      </c>
      <c r="D78" s="17">
        <v>60090692774</v>
      </c>
      <c r="E78" s="31" t="s">
        <v>170</v>
      </c>
      <c r="F78" s="18">
        <v>25.08</v>
      </c>
      <c r="G78" s="18">
        <v>0.73</v>
      </c>
      <c r="H78" s="18">
        <v>0.06</v>
      </c>
      <c r="I78" s="9">
        <f t="shared" si="1"/>
        <v>25.869999999999997</v>
      </c>
    </row>
    <row r="79" spans="1:9" ht="20.25" customHeight="1">
      <c r="A79" s="27"/>
      <c r="B79" s="26" t="s">
        <v>171</v>
      </c>
      <c r="C79" s="93"/>
      <c r="D79" s="12">
        <v>60006579681</v>
      </c>
      <c r="E79" s="30" t="s">
        <v>172</v>
      </c>
      <c r="F79" s="8">
        <v>21.62</v>
      </c>
      <c r="G79" s="8">
        <v>0.63</v>
      </c>
      <c r="H79" s="8">
        <v>0.05</v>
      </c>
      <c r="I79" s="9">
        <f t="shared" si="1"/>
        <v>22.3</v>
      </c>
    </row>
    <row r="80" spans="1:9" ht="20.25" customHeight="1">
      <c r="A80" s="27"/>
      <c r="B80" s="26" t="s">
        <v>173</v>
      </c>
      <c r="C80" s="26" t="s">
        <v>333</v>
      </c>
      <c r="D80" s="12">
        <v>60006586696</v>
      </c>
      <c r="E80" s="30" t="s">
        <v>174</v>
      </c>
      <c r="F80" s="8">
        <f>275.42/2</f>
        <v>137.71</v>
      </c>
      <c r="G80" s="8">
        <f>8.17/2</f>
        <v>4.085</v>
      </c>
      <c r="H80" s="8">
        <f>0.22/2</f>
        <v>0.11</v>
      </c>
      <c r="I80" s="9">
        <f t="shared" si="1"/>
        <v>141.90500000000003</v>
      </c>
    </row>
    <row r="81" spans="1:13" s="20" customFormat="1" ht="20.25" customHeight="1">
      <c r="A81" s="27"/>
      <c r="B81" s="26" t="s">
        <v>175</v>
      </c>
      <c r="C81" s="93"/>
      <c r="D81" s="17">
        <v>60006586704</v>
      </c>
      <c r="E81" s="31" t="s">
        <v>176</v>
      </c>
      <c r="F81" s="18">
        <f>28.26/2</f>
        <v>14.13</v>
      </c>
      <c r="G81" s="18">
        <f>0.81/2</f>
        <v>0.405</v>
      </c>
      <c r="H81" s="18">
        <f>0.08/2</f>
        <v>0.04</v>
      </c>
      <c r="I81" s="9">
        <f t="shared" si="1"/>
        <v>14.575</v>
      </c>
      <c r="J81" s="19"/>
      <c r="K81" s="19"/>
      <c r="L81" s="19"/>
      <c r="M81" s="19"/>
    </row>
    <row r="82" spans="1:13" s="20" customFormat="1" ht="20.25" customHeight="1">
      <c r="A82" s="27"/>
      <c r="B82" s="26" t="s">
        <v>177</v>
      </c>
      <c r="C82" s="26" t="s">
        <v>370</v>
      </c>
      <c r="D82" s="12">
        <v>60006587652</v>
      </c>
      <c r="E82" s="33" t="s">
        <v>178</v>
      </c>
      <c r="F82" s="15">
        <f>182.48/2</f>
        <v>91.24</v>
      </c>
      <c r="G82" s="15">
        <f>5.38/2</f>
        <v>2.69</v>
      </c>
      <c r="H82" s="15">
        <f>0.22/2</f>
        <v>0.11</v>
      </c>
      <c r="I82" s="9">
        <f t="shared" si="1"/>
        <v>94.03999999999999</v>
      </c>
      <c r="J82" s="19"/>
      <c r="K82" s="19"/>
      <c r="L82" s="19"/>
      <c r="M82" s="19"/>
    </row>
    <row r="83" spans="1:13" ht="20.25" customHeight="1">
      <c r="A83" s="27"/>
      <c r="B83" s="26" t="s">
        <v>179</v>
      </c>
      <c r="C83" s="26" t="s">
        <v>334</v>
      </c>
      <c r="D83" s="12">
        <v>60006587671</v>
      </c>
      <c r="E83" s="30" t="s">
        <v>180</v>
      </c>
      <c r="F83" s="8">
        <f>153.06/2</f>
        <v>76.53</v>
      </c>
      <c r="G83" s="8">
        <f>4.5/2</f>
        <v>2.25</v>
      </c>
      <c r="H83" s="8">
        <f>0.22/2</f>
        <v>0.11</v>
      </c>
      <c r="I83" s="9">
        <f t="shared" si="1"/>
        <v>78.89</v>
      </c>
      <c r="J83" s="19"/>
      <c r="K83" s="19"/>
      <c r="L83" s="19"/>
      <c r="M83" s="19"/>
    </row>
    <row r="84" spans="1:13" ht="20.25" customHeight="1">
      <c r="A84" s="27"/>
      <c r="B84" s="26" t="s">
        <v>181</v>
      </c>
      <c r="C84" s="26" t="s">
        <v>335</v>
      </c>
      <c r="D84" s="12">
        <v>60006593566</v>
      </c>
      <c r="E84" s="30" t="s">
        <v>182</v>
      </c>
      <c r="F84" s="8">
        <f>112.69/2</f>
        <v>56.345</v>
      </c>
      <c r="G84" s="8">
        <f>3.35/2</f>
        <v>1.675</v>
      </c>
      <c r="H84" s="8">
        <f>0.07/2</f>
        <v>0.035</v>
      </c>
      <c r="I84" s="9">
        <f t="shared" si="1"/>
        <v>58.05499999999999</v>
      </c>
      <c r="J84" s="19"/>
      <c r="K84" s="19"/>
      <c r="L84" s="19"/>
      <c r="M84" s="19"/>
    </row>
    <row r="85" spans="1:13" ht="20.25" customHeight="1">
      <c r="A85" s="27"/>
      <c r="B85" s="26" t="s">
        <v>183</v>
      </c>
      <c r="C85" s="26" t="s">
        <v>336</v>
      </c>
      <c r="D85" s="12">
        <v>60006601563</v>
      </c>
      <c r="E85" s="30" t="s">
        <v>184</v>
      </c>
      <c r="F85" s="8">
        <f>114.47/2</f>
        <v>57.235</v>
      </c>
      <c r="G85" s="8">
        <f>3.43/2</f>
        <v>1.715</v>
      </c>
      <c r="H85" s="8">
        <v>0</v>
      </c>
      <c r="I85" s="9">
        <f t="shared" si="1"/>
        <v>58.95</v>
      </c>
      <c r="J85" s="19"/>
      <c r="K85" s="19"/>
      <c r="L85" s="19"/>
      <c r="M85" s="19"/>
    </row>
    <row r="86" spans="1:13" s="20" customFormat="1" ht="20.25" customHeight="1">
      <c r="A86" s="27"/>
      <c r="B86" s="26" t="s">
        <v>185</v>
      </c>
      <c r="C86" s="26" t="s">
        <v>310</v>
      </c>
      <c r="D86" s="12">
        <v>60006630551</v>
      </c>
      <c r="E86" s="30" t="s">
        <v>186</v>
      </c>
      <c r="F86" s="8">
        <f>187/2</f>
        <v>93.5</v>
      </c>
      <c r="G86" s="8">
        <f>5.52/2</f>
        <v>2.76</v>
      </c>
      <c r="H86" s="8">
        <f>0.21/2</f>
        <v>0.105</v>
      </c>
      <c r="I86" s="9">
        <f t="shared" si="1"/>
        <v>96.36500000000001</v>
      </c>
      <c r="J86" s="19"/>
      <c r="K86" s="19"/>
      <c r="L86" s="19"/>
      <c r="M86" s="19"/>
    </row>
    <row r="87" spans="1:13" s="29" customFormat="1" ht="20.25" customHeight="1">
      <c r="A87" s="27"/>
      <c r="B87" s="26" t="s">
        <v>187</v>
      </c>
      <c r="C87" s="26" t="s">
        <v>287</v>
      </c>
      <c r="D87" s="12">
        <v>60006631759</v>
      </c>
      <c r="E87" s="30" t="s">
        <v>188</v>
      </c>
      <c r="F87" s="8">
        <f>112.38/2</f>
        <v>56.19</v>
      </c>
      <c r="G87" s="8">
        <f>3.34/2</f>
        <v>1.67</v>
      </c>
      <c r="H87" s="8">
        <f>0.07/2</f>
        <v>0.035</v>
      </c>
      <c r="I87" s="9">
        <f t="shared" si="1"/>
        <v>57.894999999999996</v>
      </c>
      <c r="J87" s="19"/>
      <c r="K87" s="19"/>
      <c r="L87" s="19"/>
      <c r="M87" s="19"/>
    </row>
    <row r="88" spans="1:13" s="29" customFormat="1" ht="20.25" customHeight="1">
      <c r="A88" s="27"/>
      <c r="B88" s="26" t="s">
        <v>189</v>
      </c>
      <c r="C88" s="26" t="s">
        <v>339</v>
      </c>
      <c r="D88" s="12">
        <v>60006631974</v>
      </c>
      <c r="E88" s="30" t="s">
        <v>190</v>
      </c>
      <c r="F88" s="8">
        <v>141.98</v>
      </c>
      <c r="G88" s="8">
        <v>4.23</v>
      </c>
      <c r="H88" s="8">
        <v>0.06</v>
      </c>
      <c r="I88" s="9">
        <f t="shared" si="1"/>
        <v>146.26999999999998</v>
      </c>
      <c r="J88" s="19"/>
      <c r="K88" s="19"/>
      <c r="L88" s="19"/>
      <c r="M88" s="19"/>
    </row>
    <row r="89" spans="1:13" ht="20.25" customHeight="1">
      <c r="A89" s="27"/>
      <c r="B89" s="26" t="s">
        <v>191</v>
      </c>
      <c r="C89" s="26" t="s">
        <v>356</v>
      </c>
      <c r="D89" s="12">
        <v>60007843337</v>
      </c>
      <c r="E89" s="30" t="s">
        <v>192</v>
      </c>
      <c r="F89" s="8">
        <f>149.63/2</f>
        <v>74.815</v>
      </c>
      <c r="G89" s="8">
        <f>4.46/2</f>
        <v>2.23</v>
      </c>
      <c r="H89" s="8">
        <f>0.07/2</f>
        <v>0.035</v>
      </c>
      <c r="I89" s="9">
        <f t="shared" si="1"/>
        <v>77.08</v>
      </c>
      <c r="J89" s="19"/>
      <c r="K89" s="19"/>
      <c r="L89" s="19"/>
      <c r="M89" s="19"/>
    </row>
    <row r="90" spans="1:13" ht="20.25" customHeight="1">
      <c r="A90" s="27"/>
      <c r="B90" s="26" t="s">
        <v>193</v>
      </c>
      <c r="C90" s="26" t="s">
        <v>305</v>
      </c>
      <c r="D90" s="12">
        <v>60006631992</v>
      </c>
      <c r="E90" s="30" t="s">
        <v>194</v>
      </c>
      <c r="F90" s="8">
        <v>205.71</v>
      </c>
      <c r="G90" s="8">
        <v>6.13</v>
      </c>
      <c r="H90" s="8">
        <v>0.1</v>
      </c>
      <c r="I90" s="9">
        <f t="shared" si="1"/>
        <v>211.94</v>
      </c>
      <c r="J90" s="19"/>
      <c r="K90" s="19"/>
      <c r="L90" s="19"/>
      <c r="M90" s="19"/>
    </row>
    <row r="91" spans="1:13" ht="20.25" customHeight="1">
      <c r="A91" s="27"/>
      <c r="B91" s="26" t="s">
        <v>195</v>
      </c>
      <c r="C91" s="26" t="s">
        <v>341</v>
      </c>
      <c r="D91" s="12">
        <v>60006632013</v>
      </c>
      <c r="E91" s="30" t="s">
        <v>196</v>
      </c>
      <c r="F91" s="8">
        <f>21.91/2</f>
        <v>10.955</v>
      </c>
      <c r="G91" s="8">
        <f>0.63/2</f>
        <v>0.315</v>
      </c>
      <c r="H91" s="8">
        <f>0.07/2</f>
        <v>0.035</v>
      </c>
      <c r="I91" s="9">
        <f t="shared" si="1"/>
        <v>11.305</v>
      </c>
      <c r="J91" s="19"/>
      <c r="K91" s="19"/>
      <c r="L91" s="19"/>
      <c r="M91" s="19"/>
    </row>
    <row r="92" spans="1:9" ht="20.25" customHeight="1">
      <c r="A92" s="27"/>
      <c r="B92" s="26" t="s">
        <v>197</v>
      </c>
      <c r="C92" s="26" t="s">
        <v>288</v>
      </c>
      <c r="D92" s="12">
        <v>60006632028</v>
      </c>
      <c r="E92" s="30" t="s">
        <v>198</v>
      </c>
      <c r="F92" s="8">
        <f>457.57/2</f>
        <v>228.785</v>
      </c>
      <c r="G92" s="8">
        <f>13.64/2</f>
        <v>6.82</v>
      </c>
      <c r="H92" s="8">
        <f>0.21/2</f>
        <v>0.105</v>
      </c>
      <c r="I92" s="9">
        <f t="shared" si="1"/>
        <v>235.70999999999998</v>
      </c>
    </row>
    <row r="93" spans="1:10" ht="20.25" customHeight="1">
      <c r="A93" s="27"/>
      <c r="B93" s="26" t="s">
        <v>199</v>
      </c>
      <c r="C93" s="26" t="s">
        <v>342</v>
      </c>
      <c r="D93" s="12">
        <v>60006632034</v>
      </c>
      <c r="E93" s="30" t="s">
        <v>200</v>
      </c>
      <c r="F93" s="8">
        <v>27.81</v>
      </c>
      <c r="G93" s="8">
        <v>0.81</v>
      </c>
      <c r="H93" s="8">
        <v>0.06</v>
      </c>
      <c r="I93" s="9">
        <f t="shared" si="1"/>
        <v>28.679999999999996</v>
      </c>
      <c r="J93" s="21"/>
    </row>
    <row r="94" spans="1:9" ht="20.25" customHeight="1">
      <c r="A94" s="27"/>
      <c r="B94" s="26" t="s">
        <v>201</v>
      </c>
      <c r="C94" s="26" t="s">
        <v>343</v>
      </c>
      <c r="D94" s="12">
        <v>60006637176</v>
      </c>
      <c r="E94" s="30" t="s">
        <v>202</v>
      </c>
      <c r="F94" s="8">
        <f>106.48/3</f>
        <v>35.49333333333333</v>
      </c>
      <c r="G94" s="8">
        <f>3.19/2</f>
        <v>1.595</v>
      </c>
      <c r="H94" s="8">
        <v>0</v>
      </c>
      <c r="I94" s="9">
        <f t="shared" si="1"/>
        <v>37.08833333333333</v>
      </c>
    </row>
    <row r="95" spans="1:9" ht="20.25" customHeight="1">
      <c r="A95" s="27"/>
      <c r="B95" s="26" t="s">
        <v>203</v>
      </c>
      <c r="C95" s="93"/>
      <c r="D95" s="12">
        <v>60006637235</v>
      </c>
      <c r="E95" s="30" t="s">
        <v>204</v>
      </c>
      <c r="F95" s="8">
        <f>28.4/2</f>
        <v>14.2</v>
      </c>
      <c r="G95" s="8">
        <f>0.82/2</f>
        <v>0.41</v>
      </c>
      <c r="H95" s="8">
        <f>0.08/2</f>
        <v>0.04</v>
      </c>
      <c r="I95" s="9">
        <f t="shared" si="1"/>
        <v>14.649999999999999</v>
      </c>
    </row>
    <row r="96" spans="1:9" ht="20.25" customHeight="1">
      <c r="A96" s="27"/>
      <c r="B96" s="26" t="s">
        <v>205</v>
      </c>
      <c r="C96" s="26" t="s">
        <v>306</v>
      </c>
      <c r="D96" s="12">
        <v>60006637714</v>
      </c>
      <c r="E96" s="30" t="s">
        <v>206</v>
      </c>
      <c r="F96" s="8">
        <f>73.77/2</f>
        <v>36.885</v>
      </c>
      <c r="G96" s="8">
        <f>2.12/2</f>
        <v>1.06</v>
      </c>
      <c r="H96" s="8">
        <f>0.22/2</f>
        <v>0.11</v>
      </c>
      <c r="I96" s="9">
        <f t="shared" si="1"/>
        <v>38.055</v>
      </c>
    </row>
    <row r="97" spans="1:9" ht="20.25" customHeight="1">
      <c r="A97" s="27"/>
      <c r="B97" s="26" t="s">
        <v>207</v>
      </c>
      <c r="C97" s="93"/>
      <c r="D97" s="12">
        <v>60006642108</v>
      </c>
      <c r="E97" s="30" t="s">
        <v>208</v>
      </c>
      <c r="F97" s="8">
        <f>28.4/2</f>
        <v>14.2</v>
      </c>
      <c r="G97" s="8">
        <f>0.82/2</f>
        <v>0.41</v>
      </c>
      <c r="H97" s="8">
        <f>0.08/2</f>
        <v>0.04</v>
      </c>
      <c r="I97" s="9">
        <f t="shared" si="1"/>
        <v>14.649999999999999</v>
      </c>
    </row>
    <row r="98" spans="1:9" ht="20.25" customHeight="1">
      <c r="A98" s="27"/>
      <c r="B98" s="26" t="s">
        <v>209</v>
      </c>
      <c r="C98" s="93"/>
      <c r="D98" s="12">
        <v>60006642114</v>
      </c>
      <c r="E98" s="30" t="s">
        <v>210</v>
      </c>
      <c r="F98" s="8">
        <f>28.4/2</f>
        <v>14.2</v>
      </c>
      <c r="G98" s="8">
        <f>0.82/2</f>
        <v>0.41</v>
      </c>
      <c r="H98" s="8">
        <f>0.08/2</f>
        <v>0.04</v>
      </c>
      <c r="I98" s="9">
        <f t="shared" si="1"/>
        <v>14.649999999999999</v>
      </c>
    </row>
    <row r="99" spans="1:9" ht="20.25" customHeight="1">
      <c r="A99" s="27"/>
      <c r="B99" s="26" t="s">
        <v>211</v>
      </c>
      <c r="C99" s="26" t="s">
        <v>290</v>
      </c>
      <c r="D99" s="12">
        <v>60006644426</v>
      </c>
      <c r="E99" s="30" t="s">
        <v>212</v>
      </c>
      <c r="F99" s="8">
        <v>48.73</v>
      </c>
      <c r="G99" s="8">
        <v>1.44</v>
      </c>
      <c r="H99" s="8">
        <v>0.05</v>
      </c>
      <c r="I99" s="9">
        <f t="shared" si="1"/>
        <v>50.21999999999999</v>
      </c>
    </row>
    <row r="100" spans="1:9" ht="20.25" customHeight="1">
      <c r="A100" s="27"/>
      <c r="B100" s="26" t="s">
        <v>213</v>
      </c>
      <c r="C100" s="93"/>
      <c r="D100" s="12">
        <v>60006644431</v>
      </c>
      <c r="E100" s="30" t="s">
        <v>214</v>
      </c>
      <c r="F100" s="8">
        <v>74.97</v>
      </c>
      <c r="G100" s="8">
        <v>2.23</v>
      </c>
      <c r="H100" s="8">
        <v>0.05</v>
      </c>
      <c r="I100" s="9">
        <f t="shared" si="1"/>
        <v>77.25</v>
      </c>
    </row>
    <row r="101" spans="1:9" ht="20.25" customHeight="1">
      <c r="A101" s="27"/>
      <c r="B101" s="26" t="s">
        <v>215</v>
      </c>
      <c r="C101" s="26" t="s">
        <v>344</v>
      </c>
      <c r="D101" s="12">
        <v>60006644654</v>
      </c>
      <c r="E101" s="30" t="s">
        <v>216</v>
      </c>
      <c r="F101" s="18">
        <f>39.6/2</f>
        <v>19.8</v>
      </c>
      <c r="G101" s="18">
        <f>1.16/2</f>
        <v>0.58</v>
      </c>
      <c r="H101" s="18">
        <f>0.08/2</f>
        <v>0.04</v>
      </c>
      <c r="I101" s="87">
        <f t="shared" si="1"/>
        <v>20.419999999999998</v>
      </c>
    </row>
    <row r="102" spans="1:9" ht="20.25" customHeight="1">
      <c r="A102" s="27"/>
      <c r="B102" s="26" t="s">
        <v>217</v>
      </c>
      <c r="C102" s="93"/>
      <c r="D102" s="12">
        <v>60007182237</v>
      </c>
      <c r="E102" s="30" t="s">
        <v>218</v>
      </c>
      <c r="F102" s="8"/>
      <c r="G102" s="8"/>
      <c r="H102" s="8"/>
      <c r="I102" s="9">
        <f t="shared" si="1"/>
        <v>0</v>
      </c>
    </row>
    <row r="103" spans="1:9" ht="20.25" customHeight="1">
      <c r="A103" s="27"/>
      <c r="B103" s="26" t="s">
        <v>219</v>
      </c>
      <c r="C103" s="26" t="s">
        <v>354</v>
      </c>
      <c r="D103" s="12">
        <v>60007843211</v>
      </c>
      <c r="E103" s="30" t="s">
        <v>220</v>
      </c>
      <c r="F103" s="8">
        <v>25.55</v>
      </c>
      <c r="G103" s="8">
        <v>0.74</v>
      </c>
      <c r="H103" s="8">
        <v>0.05</v>
      </c>
      <c r="I103" s="9">
        <f t="shared" si="1"/>
        <v>26.34</v>
      </c>
    </row>
    <row r="104" spans="1:9" ht="20.25" customHeight="1">
      <c r="A104" s="27"/>
      <c r="B104" s="26" t="s">
        <v>221</v>
      </c>
      <c r="C104" s="26" t="s">
        <v>355</v>
      </c>
      <c r="D104" s="12">
        <v>60007843225</v>
      </c>
      <c r="E104" s="30" t="s">
        <v>222</v>
      </c>
      <c r="F104" s="8">
        <v>9.56</v>
      </c>
      <c r="G104" s="8">
        <v>0.26</v>
      </c>
      <c r="H104" s="8">
        <v>0.05</v>
      </c>
      <c r="I104" s="9">
        <f t="shared" si="1"/>
        <v>9.870000000000001</v>
      </c>
    </row>
    <row r="105" spans="1:9" ht="20.25" customHeight="1">
      <c r="A105" s="27"/>
      <c r="B105" s="26" t="s">
        <v>223</v>
      </c>
      <c r="C105" s="26" t="s">
        <v>347</v>
      </c>
      <c r="D105" s="12">
        <v>60007211343</v>
      </c>
      <c r="E105" s="30" t="s">
        <v>224</v>
      </c>
      <c r="F105" s="8">
        <f>10.87/2</f>
        <v>5.435</v>
      </c>
      <c r="G105" s="8">
        <f>0.33/2</f>
        <v>0.165</v>
      </c>
      <c r="H105" s="8">
        <v>0</v>
      </c>
      <c r="I105" s="9">
        <f t="shared" si="1"/>
        <v>5.6</v>
      </c>
    </row>
    <row r="106" spans="1:9" ht="20.25" customHeight="1">
      <c r="A106" s="27"/>
      <c r="B106" s="26" t="s">
        <v>225</v>
      </c>
      <c r="C106" s="26" t="s">
        <v>346</v>
      </c>
      <c r="D106" s="12">
        <v>60007211339</v>
      </c>
      <c r="E106" s="30" t="s">
        <v>226</v>
      </c>
      <c r="F106" s="8">
        <f>108.59/2</f>
        <v>54.295</v>
      </c>
      <c r="G106" s="8">
        <f>3.16/2</f>
        <v>1.58</v>
      </c>
      <c r="H106" s="8">
        <f>0.22/2</f>
        <v>0.11</v>
      </c>
      <c r="I106" s="9">
        <f t="shared" si="1"/>
        <v>55.985</v>
      </c>
    </row>
    <row r="107" spans="1:9" ht="20.25" customHeight="1">
      <c r="A107" s="27"/>
      <c r="B107" s="26" t="s">
        <v>227</v>
      </c>
      <c r="C107" s="26" t="s">
        <v>291</v>
      </c>
      <c r="D107" s="12">
        <v>60007239731</v>
      </c>
      <c r="E107" s="30" t="s">
        <v>228</v>
      </c>
      <c r="F107" s="8">
        <f>276.9/2</f>
        <v>138.45</v>
      </c>
      <c r="G107" s="8">
        <f>8.27/2</f>
        <v>4.135</v>
      </c>
      <c r="H107" s="8">
        <f>0.08/2</f>
        <v>0.04</v>
      </c>
      <c r="I107" s="9">
        <f t="shared" si="1"/>
        <v>142.62499999999997</v>
      </c>
    </row>
    <row r="108" spans="1:9" ht="20.25" customHeight="1">
      <c r="A108" s="27"/>
      <c r="B108" s="26" t="s">
        <v>229</v>
      </c>
      <c r="C108" s="26" t="s">
        <v>348</v>
      </c>
      <c r="D108" s="12">
        <v>60007483419</v>
      </c>
      <c r="E108" s="30" t="s">
        <v>230</v>
      </c>
      <c r="F108" s="8">
        <f>122.06/2</f>
        <v>61.03</v>
      </c>
      <c r="G108" s="8">
        <f>3.63/2</f>
        <v>1.815</v>
      </c>
      <c r="H108" s="8">
        <f>0.08/2</f>
        <v>0.04</v>
      </c>
      <c r="I108" s="9">
        <f t="shared" si="1"/>
        <v>62.885</v>
      </c>
    </row>
    <row r="109" spans="1:9" ht="20.25" customHeight="1">
      <c r="A109" s="27"/>
      <c r="B109" s="26" t="s">
        <v>231</v>
      </c>
      <c r="C109" s="26" t="s">
        <v>301</v>
      </c>
      <c r="D109" s="12">
        <v>60006579638</v>
      </c>
      <c r="E109" s="30" t="s">
        <v>232</v>
      </c>
      <c r="F109" s="8">
        <v>10.76</v>
      </c>
      <c r="G109" s="8">
        <v>0.3</v>
      </c>
      <c r="H109" s="8">
        <v>0.05</v>
      </c>
      <c r="I109" s="9">
        <f t="shared" si="1"/>
        <v>11.110000000000001</v>
      </c>
    </row>
    <row r="110" spans="1:9" ht="20.25" customHeight="1">
      <c r="A110" s="27"/>
      <c r="B110" s="26" t="s">
        <v>233</v>
      </c>
      <c r="C110" s="26" t="s">
        <v>349</v>
      </c>
      <c r="D110" s="12">
        <v>60006579657</v>
      </c>
      <c r="E110" s="30" t="s">
        <v>234</v>
      </c>
      <c r="F110" s="8">
        <v>88.48</v>
      </c>
      <c r="G110" s="8">
        <v>2.63</v>
      </c>
      <c r="H110" s="8">
        <v>0.05</v>
      </c>
      <c r="I110" s="9">
        <f t="shared" si="1"/>
        <v>91.16</v>
      </c>
    </row>
    <row r="111" spans="1:9" ht="20.25" customHeight="1">
      <c r="A111" s="27"/>
      <c r="B111" s="26" t="s">
        <v>235</v>
      </c>
      <c r="C111" s="93"/>
      <c r="D111" s="12">
        <v>60006579676</v>
      </c>
      <c r="E111" s="30" t="s">
        <v>236</v>
      </c>
      <c r="F111" s="8">
        <v>11.69</v>
      </c>
      <c r="G111" s="8">
        <v>0.33</v>
      </c>
      <c r="H111" s="8">
        <v>0.05</v>
      </c>
      <c r="I111" s="9">
        <f t="shared" si="1"/>
        <v>12.07</v>
      </c>
    </row>
    <row r="112" spans="1:9" ht="20.25" customHeight="1">
      <c r="A112" s="27"/>
      <c r="B112" s="26" t="s">
        <v>237</v>
      </c>
      <c r="C112" s="26" t="s">
        <v>351</v>
      </c>
      <c r="D112" s="12">
        <v>60007631681</v>
      </c>
      <c r="E112" s="30" t="s">
        <v>238</v>
      </c>
      <c r="F112" s="8">
        <v>11.68</v>
      </c>
      <c r="G112" s="8">
        <v>0.33</v>
      </c>
      <c r="H112" s="8">
        <v>0.05</v>
      </c>
      <c r="I112" s="9">
        <f t="shared" si="1"/>
        <v>12.06</v>
      </c>
    </row>
    <row r="113" spans="1:9" ht="20.25" customHeight="1">
      <c r="A113" s="27"/>
      <c r="B113" s="26" t="s">
        <v>239</v>
      </c>
      <c r="C113" s="26" t="s">
        <v>357</v>
      </c>
      <c r="D113" s="12">
        <v>60007848373</v>
      </c>
      <c r="E113" s="30" t="s">
        <v>240</v>
      </c>
      <c r="F113" s="8">
        <f>231.15/2</f>
        <v>115.575</v>
      </c>
      <c r="G113" s="8">
        <f>6.85/2</f>
        <v>3.425</v>
      </c>
      <c r="H113" s="8">
        <f>0.21/2</f>
        <v>0.105</v>
      </c>
      <c r="I113" s="9">
        <f t="shared" si="1"/>
        <v>119.105</v>
      </c>
    </row>
    <row r="114" spans="1:9" ht="20.25" customHeight="1">
      <c r="A114" s="27"/>
      <c r="B114" s="26" t="s">
        <v>241</v>
      </c>
      <c r="C114" s="26" t="s">
        <v>338</v>
      </c>
      <c r="D114" s="12">
        <v>60006631880</v>
      </c>
      <c r="E114" s="30" t="s">
        <v>242</v>
      </c>
      <c r="F114" s="8">
        <f>65.1/2</f>
        <v>32.55</v>
      </c>
      <c r="G114" s="8">
        <f>1.92/2</f>
        <v>0.96</v>
      </c>
      <c r="H114" s="8">
        <f>0.08/2</f>
        <v>0.04</v>
      </c>
      <c r="I114" s="9">
        <f t="shared" si="1"/>
        <v>33.55</v>
      </c>
    </row>
    <row r="115" spans="1:9" ht="20.25" customHeight="1">
      <c r="A115" s="27"/>
      <c r="B115" s="26" t="s">
        <v>243</v>
      </c>
      <c r="C115" s="26" t="s">
        <v>320</v>
      </c>
      <c r="D115" s="12">
        <v>60006631920</v>
      </c>
      <c r="E115" s="30" t="s">
        <v>244</v>
      </c>
      <c r="F115" s="8">
        <f>232.8/2</f>
        <v>116.4</v>
      </c>
      <c r="G115" s="8">
        <f>6.89/2</f>
        <v>3.445</v>
      </c>
      <c r="H115" s="8">
        <f>0.22/2</f>
        <v>0.11</v>
      </c>
      <c r="I115" s="9">
        <f t="shared" si="1"/>
        <v>119.955</v>
      </c>
    </row>
    <row r="116" spans="1:9" ht="20.25" customHeight="1">
      <c r="A116" s="27"/>
      <c r="B116" s="26" t="s">
        <v>245</v>
      </c>
      <c r="C116" s="26" t="s">
        <v>340</v>
      </c>
      <c r="D116" s="12">
        <v>60006631987</v>
      </c>
      <c r="E116" s="30" t="s">
        <v>246</v>
      </c>
      <c r="F116" s="8">
        <f>427.03/2</f>
        <v>213.515</v>
      </c>
      <c r="G116" s="8">
        <f>12.72/2</f>
        <v>6.36</v>
      </c>
      <c r="H116" s="8">
        <f>0.21/2</f>
        <v>0.105</v>
      </c>
      <c r="I116" s="9">
        <f t="shared" si="1"/>
        <v>219.98</v>
      </c>
    </row>
    <row r="117" spans="1:9" ht="20.25" customHeight="1">
      <c r="A117" s="27"/>
      <c r="B117" s="26" t="s">
        <v>247</v>
      </c>
      <c r="C117" s="26" t="s">
        <v>373</v>
      </c>
      <c r="D117" s="12">
        <v>60006632009</v>
      </c>
      <c r="E117" s="30" t="s">
        <v>248</v>
      </c>
      <c r="F117" s="8">
        <f>425.65/2</f>
        <v>212.825</v>
      </c>
      <c r="G117" s="8">
        <f>12.7/2</f>
        <v>6.35</v>
      </c>
      <c r="H117" s="8">
        <f>0.17/2</f>
        <v>0.085</v>
      </c>
      <c r="I117" s="9">
        <f t="shared" si="1"/>
        <v>219.26</v>
      </c>
    </row>
    <row r="118" spans="1:9" ht="20.25" customHeight="1">
      <c r="A118" s="27"/>
      <c r="B118" s="26" t="s">
        <v>249</v>
      </c>
      <c r="C118" s="26" t="s">
        <v>350</v>
      </c>
      <c r="D118" s="12">
        <v>60007611240</v>
      </c>
      <c r="E118" s="30" t="s">
        <v>250</v>
      </c>
      <c r="F118" s="8">
        <f>431.23/2</f>
        <v>215.615</v>
      </c>
      <c r="G118" s="8">
        <f>12.9/2</f>
        <v>6.45</v>
      </c>
      <c r="H118" s="8">
        <f>0.09/2</f>
        <v>0.045</v>
      </c>
      <c r="I118" s="9">
        <f t="shared" si="1"/>
        <v>222.10999999999999</v>
      </c>
    </row>
    <row r="119" spans="1:9" ht="20.25" customHeight="1">
      <c r="A119" s="27"/>
      <c r="B119" s="26" t="s">
        <v>251</v>
      </c>
      <c r="C119" s="26" t="s">
        <v>337</v>
      </c>
      <c r="D119" s="12">
        <v>60006613294</v>
      </c>
      <c r="E119" s="30" t="s">
        <v>252</v>
      </c>
      <c r="F119" s="8">
        <f>118.86/2</f>
        <v>59.43</v>
      </c>
      <c r="G119" s="8">
        <f>3.57/2</f>
        <v>1.785</v>
      </c>
      <c r="H119" s="8">
        <v>0</v>
      </c>
      <c r="I119" s="9">
        <f t="shared" si="1"/>
        <v>61.214999999999996</v>
      </c>
    </row>
    <row r="120" spans="1:9" ht="20.25" customHeight="1">
      <c r="A120" s="27"/>
      <c r="B120" s="26" t="s">
        <v>253</v>
      </c>
      <c r="C120" s="26" t="s">
        <v>303</v>
      </c>
      <c r="D120" s="12">
        <v>60006631725</v>
      </c>
      <c r="E120" s="30" t="s">
        <v>254</v>
      </c>
      <c r="F120" s="8">
        <f>300.24/2</f>
        <v>150.12</v>
      </c>
      <c r="G120" s="8">
        <f>8.97/2</f>
        <v>4.485</v>
      </c>
      <c r="H120" s="8">
        <f>0.08/2</f>
        <v>0.04</v>
      </c>
      <c r="I120" s="9">
        <f aca="true" t="shared" si="2" ref="I120:I130">SUM(F120:H120)</f>
        <v>154.645</v>
      </c>
    </row>
    <row r="121" spans="1:9" ht="20.25" customHeight="1">
      <c r="A121" s="27"/>
      <c r="B121" s="26" t="s">
        <v>255</v>
      </c>
      <c r="C121" s="26" t="s">
        <v>304</v>
      </c>
      <c r="D121" s="12">
        <v>60006631818</v>
      </c>
      <c r="E121" s="30" t="s">
        <v>256</v>
      </c>
      <c r="F121" s="8">
        <f>14.3/2+12.15/2</f>
        <v>13.225000000000001</v>
      </c>
      <c r="G121" s="8">
        <f>0.4/2+0.34/2</f>
        <v>0.37</v>
      </c>
      <c r="H121" s="8">
        <f>0.06/2+0.05/2</f>
        <v>0.055</v>
      </c>
      <c r="I121" s="9">
        <f t="shared" si="2"/>
        <v>13.65</v>
      </c>
    </row>
    <row r="122" spans="1:9" ht="20.25" customHeight="1">
      <c r="A122" s="28"/>
      <c r="B122" s="25" t="s">
        <v>257</v>
      </c>
      <c r="C122" s="95"/>
      <c r="D122" s="14">
        <v>60006631824</v>
      </c>
      <c r="E122" s="45" t="s">
        <v>258</v>
      </c>
      <c r="F122" s="15">
        <f>1115.13*0.25+906.69*0.25</f>
        <v>505.45500000000004</v>
      </c>
      <c r="G122" s="15">
        <f>33.37*0.25+27.13*0.25</f>
        <v>15.125</v>
      </c>
      <c r="H122" s="15">
        <f>0.19*0.25+0.18*0.25</f>
        <v>0.0925</v>
      </c>
      <c r="I122" s="9">
        <f t="shared" si="2"/>
        <v>520.6725</v>
      </c>
    </row>
    <row r="123" spans="1:9" ht="20.25" customHeight="1">
      <c r="A123" s="28"/>
      <c r="B123" s="25" t="s">
        <v>259</v>
      </c>
      <c r="C123" s="25" t="s">
        <v>345</v>
      </c>
      <c r="D123" s="14">
        <v>60006872372</v>
      </c>
      <c r="E123" s="45" t="s">
        <v>260</v>
      </c>
      <c r="F123" s="15">
        <v>28.44</v>
      </c>
      <c r="G123" s="15">
        <v>0.83</v>
      </c>
      <c r="H123" s="15">
        <v>0.05</v>
      </c>
      <c r="I123" s="9">
        <f t="shared" si="2"/>
        <v>29.32</v>
      </c>
    </row>
    <row r="124" spans="1:9" ht="20.25" customHeight="1">
      <c r="A124" s="28"/>
      <c r="B124" s="25" t="s">
        <v>261</v>
      </c>
      <c r="C124" s="25" t="s">
        <v>321</v>
      </c>
      <c r="D124" s="14">
        <v>60006974384</v>
      </c>
      <c r="E124" s="45" t="s">
        <v>262</v>
      </c>
      <c r="F124" s="15">
        <f>121.8/2</f>
        <v>60.9</v>
      </c>
      <c r="G124" s="15">
        <f>3.62/2</f>
        <v>1.81</v>
      </c>
      <c r="H124" s="15">
        <f>0.08/2</f>
        <v>0.04</v>
      </c>
      <c r="I124" s="9">
        <f t="shared" si="2"/>
        <v>62.75</v>
      </c>
    </row>
    <row r="125" spans="1:9" ht="20.25" customHeight="1">
      <c r="A125" s="28"/>
      <c r="B125" s="25" t="s">
        <v>263</v>
      </c>
      <c r="C125" s="25" t="s">
        <v>368</v>
      </c>
      <c r="D125" s="14">
        <v>60006581324</v>
      </c>
      <c r="E125" s="45" t="s">
        <v>264</v>
      </c>
      <c r="F125" s="15">
        <v>353.04</v>
      </c>
      <c r="G125" s="15">
        <v>10.55</v>
      </c>
      <c r="H125" s="15">
        <v>0.09</v>
      </c>
      <c r="I125" s="9">
        <f t="shared" si="2"/>
        <v>363.68</v>
      </c>
    </row>
    <row r="126" spans="1:9" ht="20.25" customHeight="1">
      <c r="A126" s="28"/>
      <c r="B126" s="25" t="s">
        <v>265</v>
      </c>
      <c r="C126" s="25" t="s">
        <v>352</v>
      </c>
      <c r="D126" s="14">
        <v>60007651627</v>
      </c>
      <c r="E126" s="45" t="s">
        <v>266</v>
      </c>
      <c r="F126" s="15">
        <v>12.94</v>
      </c>
      <c r="G126" s="15">
        <v>0.37</v>
      </c>
      <c r="H126" s="15">
        <v>0.05</v>
      </c>
      <c r="I126" s="9">
        <f t="shared" si="2"/>
        <v>13.36</v>
      </c>
    </row>
    <row r="127" spans="1:9" ht="20.25" customHeight="1">
      <c r="A127" s="28"/>
      <c r="B127" s="25" t="s">
        <v>267</v>
      </c>
      <c r="C127" s="95"/>
      <c r="D127" s="14">
        <v>83007351147</v>
      </c>
      <c r="E127" s="45" t="s">
        <v>268</v>
      </c>
      <c r="F127" s="15">
        <v>11.49</v>
      </c>
      <c r="G127" s="15">
        <v>0.32</v>
      </c>
      <c r="H127" s="15">
        <v>0.05</v>
      </c>
      <c r="I127" s="9">
        <f t="shared" si="2"/>
        <v>11.860000000000001</v>
      </c>
    </row>
    <row r="128" spans="1:9" ht="20.25" customHeight="1">
      <c r="A128" s="28"/>
      <c r="B128" s="25" t="s">
        <v>269</v>
      </c>
      <c r="C128" s="25"/>
      <c r="D128" s="14">
        <v>83007705623</v>
      </c>
      <c r="E128" s="45" t="s">
        <v>270</v>
      </c>
      <c r="F128" s="15">
        <v>18.02</v>
      </c>
      <c r="G128" s="15">
        <v>0.52</v>
      </c>
      <c r="H128" s="15">
        <v>0.05</v>
      </c>
      <c r="I128" s="9">
        <f t="shared" si="2"/>
        <v>18.59</v>
      </c>
    </row>
    <row r="129" spans="1:9" ht="20.25" customHeight="1">
      <c r="A129" s="28"/>
      <c r="B129" s="25" t="s">
        <v>271</v>
      </c>
      <c r="C129" s="25"/>
      <c r="D129" s="14">
        <v>83007812488</v>
      </c>
      <c r="E129" s="45" t="s">
        <v>272</v>
      </c>
      <c r="F129" s="15">
        <v>55.9</v>
      </c>
      <c r="G129" s="15">
        <v>1.65</v>
      </c>
      <c r="H129" s="15">
        <v>0.05</v>
      </c>
      <c r="I129" s="9">
        <f t="shared" si="2"/>
        <v>57.599999999999994</v>
      </c>
    </row>
    <row r="130" spans="1:9" ht="20.25" customHeight="1">
      <c r="A130" s="28"/>
      <c r="B130" s="25" t="s">
        <v>273</v>
      </c>
      <c r="C130" s="25"/>
      <c r="D130" s="14">
        <v>83007946440</v>
      </c>
      <c r="E130" s="45" t="s">
        <v>274</v>
      </c>
      <c r="F130" s="15"/>
      <c r="G130" s="15"/>
      <c r="H130" s="15"/>
      <c r="I130" s="9">
        <f t="shared" si="2"/>
        <v>0</v>
      </c>
    </row>
    <row r="131" spans="1:9" ht="20.25" customHeight="1" thickBot="1">
      <c r="A131" s="10" t="s">
        <v>0</v>
      </c>
      <c r="B131" s="24"/>
      <c r="C131" s="24"/>
      <c r="D131" s="13"/>
      <c r="E131" s="13"/>
      <c r="F131" s="34"/>
      <c r="G131" s="34"/>
      <c r="H131" s="34"/>
      <c r="I131" s="38">
        <f>SUM(I8:I130)</f>
        <v>27957.590833333346</v>
      </c>
    </row>
    <row r="132" ht="13.5" thickTop="1"/>
  </sheetData>
  <sheetProtection/>
  <mergeCells count="6">
    <mergeCell ref="K2:M2"/>
    <mergeCell ref="K3:M3"/>
    <mergeCell ref="K4:M4"/>
    <mergeCell ref="G2:I2"/>
    <mergeCell ref="H3:I3"/>
    <mergeCell ref="G4:I4"/>
  </mergeCells>
  <printOptions horizontalCentered="1"/>
  <pageMargins left="0.3937007874015748" right="0.3937007874015748" top="0.5905511811023623" bottom="0.5905511811023623" header="0" footer="0"/>
  <pageSetup fitToHeight="0" fitToWidth="1" horizontalDpi="600" verticalDpi="600" orientation="portrait" paperSize="9" scale="32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J131"/>
  <sheetViews>
    <sheetView view="pageBreakPreview" zoomScale="90" zoomScaleSheetLayoutView="90" zoomScalePageLayoutView="0" workbookViewId="0" topLeftCell="A49">
      <selection activeCell="A54" sqref="A54:IV56"/>
    </sheetView>
  </sheetViews>
  <sheetFormatPr defaultColWidth="11.421875" defaultRowHeight="12.75"/>
  <cols>
    <col min="1" max="1" width="15.140625" style="1" customWidth="1"/>
    <col min="2" max="2" width="86.7109375" style="21" customWidth="1"/>
    <col min="3" max="3" width="103.28125" style="21" customWidth="1"/>
    <col min="4" max="4" width="21.421875" style="1" customWidth="1"/>
    <col min="5" max="5" width="34.8515625" style="1" hidden="1" customWidth="1"/>
    <col min="6" max="6" width="22.57421875" style="2" customWidth="1"/>
    <col min="7" max="7" width="23.421875" style="2" customWidth="1"/>
    <col min="8" max="8" width="19.140625" style="2" customWidth="1"/>
    <col min="9" max="9" width="18.28125" style="2" bestFit="1" customWidth="1"/>
    <col min="10" max="10" width="11.421875" style="1" customWidth="1"/>
    <col min="11" max="11" width="11.57421875" style="1" bestFit="1" customWidth="1"/>
    <col min="12" max="16384" width="11.421875" style="1" customWidth="1"/>
  </cols>
  <sheetData>
    <row r="1" spans="1:9" ht="15.75" customHeight="1">
      <c r="A1" s="52"/>
      <c r="B1" s="54"/>
      <c r="C1" s="54"/>
      <c r="F1" s="52"/>
      <c r="G1" s="52"/>
      <c r="H1" s="52"/>
      <c r="I1" s="52"/>
    </row>
    <row r="2" spans="1:9" ht="42.75" customHeight="1">
      <c r="A2" s="52"/>
      <c r="B2" s="54"/>
      <c r="C2" s="54"/>
      <c r="F2" s="101" t="s">
        <v>116</v>
      </c>
      <c r="G2" s="101"/>
      <c r="H2" s="101"/>
      <c r="I2" s="101"/>
    </row>
    <row r="3" spans="1:9" ht="33.75" customHeight="1">
      <c r="A3" s="52"/>
      <c r="B3" s="54"/>
      <c r="C3" s="54"/>
      <c r="F3" s="52"/>
      <c r="G3" s="100"/>
      <c r="H3" s="100"/>
      <c r="I3" s="100"/>
    </row>
    <row r="4" spans="1:9" ht="21.75" customHeight="1">
      <c r="A4" s="52"/>
      <c r="B4" s="54"/>
      <c r="C4" s="54"/>
      <c r="F4" s="99" t="s">
        <v>124</v>
      </c>
      <c r="G4" s="99"/>
      <c r="H4" s="99"/>
      <c r="I4" s="99"/>
    </row>
    <row r="5" spans="1:9" ht="15.75" customHeight="1">
      <c r="A5" s="52"/>
      <c r="B5" s="54"/>
      <c r="C5" s="54"/>
      <c r="F5" s="52"/>
      <c r="G5" s="52"/>
      <c r="H5" s="52"/>
      <c r="I5" s="52"/>
    </row>
    <row r="6" spans="1:9" ht="15.75" customHeight="1" thickBot="1">
      <c r="A6" s="55"/>
      <c r="B6" s="56"/>
      <c r="C6" s="56"/>
      <c r="D6" s="3"/>
      <c r="E6" s="3"/>
      <c r="F6" s="55"/>
      <c r="G6" s="55"/>
      <c r="H6" s="55"/>
      <c r="I6" s="52"/>
    </row>
    <row r="7" spans="1:9" ht="21" customHeight="1" thickTop="1">
      <c r="A7" s="57" t="s">
        <v>1</v>
      </c>
      <c r="B7" s="58" t="s">
        <v>3</v>
      </c>
      <c r="C7" s="23" t="s">
        <v>285</v>
      </c>
      <c r="D7" s="11" t="s">
        <v>2</v>
      </c>
      <c r="E7" s="11" t="s">
        <v>11</v>
      </c>
      <c r="F7" s="59" t="s">
        <v>4</v>
      </c>
      <c r="G7" s="59" t="s">
        <v>5</v>
      </c>
      <c r="H7" s="73" t="s">
        <v>13</v>
      </c>
      <c r="I7" s="53" t="s">
        <v>0</v>
      </c>
    </row>
    <row r="8" spans="1:9" ht="21" customHeight="1">
      <c r="A8" s="60"/>
      <c r="B8" s="72" t="s">
        <v>15</v>
      </c>
      <c r="C8" s="72" t="s">
        <v>316</v>
      </c>
      <c r="D8" s="12">
        <v>83006884161</v>
      </c>
      <c r="E8" s="30" t="s">
        <v>16</v>
      </c>
      <c r="F8" s="46">
        <v>25</v>
      </c>
      <c r="G8" s="46">
        <v>109</v>
      </c>
      <c r="H8" s="74">
        <v>54</v>
      </c>
      <c r="I8" s="51">
        <f>F8+G8+H8</f>
        <v>188</v>
      </c>
    </row>
    <row r="9" spans="1:9" ht="21" customHeight="1">
      <c r="A9" s="60"/>
      <c r="B9" s="26" t="s">
        <v>17</v>
      </c>
      <c r="C9" s="26" t="s">
        <v>314</v>
      </c>
      <c r="D9" s="12">
        <v>83001699293</v>
      </c>
      <c r="E9" s="30" t="s">
        <v>19</v>
      </c>
      <c r="F9" s="46">
        <v>1299.5</v>
      </c>
      <c r="G9" s="46">
        <v>0</v>
      </c>
      <c r="H9" s="74">
        <v>0</v>
      </c>
      <c r="I9" s="51">
        <f aca="true" t="shared" si="0" ref="I9:I59">F9+G9+H9</f>
        <v>1299.5</v>
      </c>
    </row>
    <row r="10" spans="1:9" ht="21" customHeight="1">
      <c r="A10" s="60"/>
      <c r="B10" s="26" t="s">
        <v>18</v>
      </c>
      <c r="C10" s="26" t="s">
        <v>324</v>
      </c>
      <c r="D10" s="12">
        <v>83002793469</v>
      </c>
      <c r="E10" s="30" t="s">
        <v>20</v>
      </c>
      <c r="F10" s="46">
        <v>3093</v>
      </c>
      <c r="G10" s="46">
        <v>1175</v>
      </c>
      <c r="H10" s="74">
        <v>394</v>
      </c>
      <c r="I10" s="51">
        <f t="shared" si="0"/>
        <v>4662</v>
      </c>
    </row>
    <row r="11" spans="1:9" ht="21" customHeight="1">
      <c r="A11" s="60"/>
      <c r="B11" s="26" t="s">
        <v>21</v>
      </c>
      <c r="C11" s="26" t="s">
        <v>365</v>
      </c>
      <c r="D11" s="12">
        <v>83005319585</v>
      </c>
      <c r="E11" s="30" t="s">
        <v>22</v>
      </c>
      <c r="F11" s="46">
        <v>129</v>
      </c>
      <c r="G11" s="46">
        <v>391</v>
      </c>
      <c r="H11" s="74">
        <v>120</v>
      </c>
      <c r="I11" s="51">
        <f t="shared" si="0"/>
        <v>640</v>
      </c>
    </row>
    <row r="12" spans="1:9" ht="21" customHeight="1">
      <c r="A12" s="60"/>
      <c r="B12" s="26" t="s">
        <v>23</v>
      </c>
      <c r="C12" s="26" t="s">
        <v>325</v>
      </c>
      <c r="D12" s="61">
        <v>999395654431</v>
      </c>
      <c r="E12" s="30" t="s">
        <v>24</v>
      </c>
      <c r="F12" s="46">
        <v>4722</v>
      </c>
      <c r="G12" s="46">
        <v>1864</v>
      </c>
      <c r="H12" s="74">
        <v>1281</v>
      </c>
      <c r="I12" s="51">
        <f t="shared" si="0"/>
        <v>7867</v>
      </c>
    </row>
    <row r="13" spans="1:9" ht="21" customHeight="1">
      <c r="A13" s="60"/>
      <c r="B13" s="26" t="s">
        <v>25</v>
      </c>
      <c r="C13" s="26" t="s">
        <v>315</v>
      </c>
      <c r="D13" s="61">
        <v>999395655454</v>
      </c>
      <c r="E13" s="30" t="s">
        <v>26</v>
      </c>
      <c r="F13" s="46">
        <v>393</v>
      </c>
      <c r="G13" s="46">
        <v>1343</v>
      </c>
      <c r="H13" s="74">
        <v>216</v>
      </c>
      <c r="I13" s="51">
        <f t="shared" si="0"/>
        <v>1952</v>
      </c>
    </row>
    <row r="14" spans="1:9" ht="21" customHeight="1">
      <c r="A14" s="60"/>
      <c r="B14" s="26" t="s">
        <v>27</v>
      </c>
      <c r="C14" s="26" t="s">
        <v>326</v>
      </c>
      <c r="D14" s="61">
        <v>512012286</v>
      </c>
      <c r="E14" s="30" t="s">
        <v>28</v>
      </c>
      <c r="F14" s="46">
        <v>2698</v>
      </c>
      <c r="G14" s="46">
        <v>917</v>
      </c>
      <c r="H14" s="74">
        <v>300</v>
      </c>
      <c r="I14" s="51">
        <f t="shared" si="0"/>
        <v>3915</v>
      </c>
    </row>
    <row r="15" spans="1:9" ht="21" customHeight="1">
      <c r="A15" s="60"/>
      <c r="B15" s="26" t="s">
        <v>29</v>
      </c>
      <c r="C15" s="26" t="s">
        <v>327</v>
      </c>
      <c r="D15" s="61">
        <v>999395659634</v>
      </c>
      <c r="E15" s="30" t="s">
        <v>30</v>
      </c>
      <c r="F15" s="46">
        <v>2411</v>
      </c>
      <c r="G15" s="46">
        <v>803</v>
      </c>
      <c r="H15" s="74">
        <v>389</v>
      </c>
      <c r="I15" s="51">
        <f t="shared" si="0"/>
        <v>3603</v>
      </c>
    </row>
    <row r="16" spans="1:9" ht="21" customHeight="1">
      <c r="A16" s="60"/>
      <c r="B16" s="26" t="s">
        <v>31</v>
      </c>
      <c r="C16" s="26" t="s">
        <v>317</v>
      </c>
      <c r="D16" s="61">
        <v>999395660462</v>
      </c>
      <c r="E16" s="30" t="s">
        <v>32</v>
      </c>
      <c r="F16" s="46">
        <v>446</v>
      </c>
      <c r="G16" s="46">
        <v>661</v>
      </c>
      <c r="H16" s="74">
        <v>609</v>
      </c>
      <c r="I16" s="51">
        <f t="shared" si="0"/>
        <v>1716</v>
      </c>
    </row>
    <row r="17" spans="1:9" ht="21" customHeight="1">
      <c r="A17" s="60"/>
      <c r="B17" s="26" t="s">
        <v>33</v>
      </c>
      <c r="C17" s="26" t="s">
        <v>366</v>
      </c>
      <c r="D17" s="61">
        <v>999395662284</v>
      </c>
      <c r="E17" s="30" t="s">
        <v>34</v>
      </c>
      <c r="F17" s="46">
        <v>1315</v>
      </c>
      <c r="G17" s="46">
        <v>5208</v>
      </c>
      <c r="H17" s="74">
        <v>2230</v>
      </c>
      <c r="I17" s="51">
        <f t="shared" si="0"/>
        <v>8753</v>
      </c>
    </row>
    <row r="18" spans="1:9" ht="21" customHeight="1">
      <c r="A18" s="60"/>
      <c r="B18" s="26" t="s">
        <v>35</v>
      </c>
      <c r="C18" s="26" t="s">
        <v>292</v>
      </c>
      <c r="D18" s="61">
        <v>999395662947</v>
      </c>
      <c r="E18" s="30" t="s">
        <v>36</v>
      </c>
      <c r="F18" s="46">
        <v>227</v>
      </c>
      <c r="G18" s="46">
        <v>2196</v>
      </c>
      <c r="H18" s="74">
        <v>283</v>
      </c>
      <c r="I18" s="51">
        <f t="shared" si="0"/>
        <v>2706</v>
      </c>
    </row>
    <row r="19" spans="1:9" ht="21" customHeight="1">
      <c r="A19" s="60"/>
      <c r="B19" s="26" t="s">
        <v>37</v>
      </c>
      <c r="C19" s="26" t="s">
        <v>369</v>
      </c>
      <c r="D19" s="61">
        <v>999395663410</v>
      </c>
      <c r="E19" s="30" t="s">
        <v>38</v>
      </c>
      <c r="F19" s="46">
        <v>144</v>
      </c>
      <c r="G19" s="46">
        <v>1767</v>
      </c>
      <c r="H19" s="74">
        <v>268</v>
      </c>
      <c r="I19" s="51">
        <f t="shared" si="0"/>
        <v>2179</v>
      </c>
    </row>
    <row r="20" spans="1:9" ht="21" customHeight="1">
      <c r="A20" s="60"/>
      <c r="B20" s="26" t="s">
        <v>39</v>
      </c>
      <c r="C20" s="26" t="s">
        <v>293</v>
      </c>
      <c r="D20" s="61">
        <v>999395665004</v>
      </c>
      <c r="E20" s="30" t="s">
        <v>40</v>
      </c>
      <c r="F20" s="46">
        <v>366</v>
      </c>
      <c r="G20" s="46">
        <v>8039</v>
      </c>
      <c r="H20" s="74">
        <v>1274</v>
      </c>
      <c r="I20" s="51">
        <f t="shared" si="0"/>
        <v>9679</v>
      </c>
    </row>
    <row r="21" spans="1:9" ht="21" customHeight="1">
      <c r="A21" s="60"/>
      <c r="B21" s="26" t="s">
        <v>41</v>
      </c>
      <c r="C21" s="26" t="s">
        <v>367</v>
      </c>
      <c r="D21" s="61">
        <v>999395665500</v>
      </c>
      <c r="E21" s="30" t="s">
        <v>42</v>
      </c>
      <c r="F21" s="46">
        <v>1174</v>
      </c>
      <c r="G21" s="46">
        <v>1855</v>
      </c>
      <c r="H21" s="74">
        <v>819</v>
      </c>
      <c r="I21" s="51">
        <f t="shared" si="0"/>
        <v>3848</v>
      </c>
    </row>
    <row r="22" spans="1:9" ht="21" customHeight="1">
      <c r="A22" s="60"/>
      <c r="B22" s="26" t="s">
        <v>43</v>
      </c>
      <c r="C22" s="93"/>
      <c r="D22" s="61">
        <v>999395674678</v>
      </c>
      <c r="E22" s="30" t="s">
        <v>44</v>
      </c>
      <c r="F22" s="46">
        <v>159</v>
      </c>
      <c r="G22" s="46">
        <v>153</v>
      </c>
      <c r="H22" s="74">
        <v>206</v>
      </c>
      <c r="I22" s="51">
        <f t="shared" si="0"/>
        <v>518</v>
      </c>
    </row>
    <row r="23" spans="1:9" ht="21" customHeight="1">
      <c r="A23" s="60"/>
      <c r="B23" s="26" t="s">
        <v>45</v>
      </c>
      <c r="C23" s="26" t="s">
        <v>307</v>
      </c>
      <c r="D23" s="61">
        <v>999395675751</v>
      </c>
      <c r="E23" s="30" t="s">
        <v>46</v>
      </c>
      <c r="F23" s="46">
        <v>283</v>
      </c>
      <c r="G23" s="46">
        <v>344</v>
      </c>
      <c r="H23" s="74">
        <v>375</v>
      </c>
      <c r="I23" s="51">
        <f t="shared" si="0"/>
        <v>1002</v>
      </c>
    </row>
    <row r="24" spans="1:9" s="19" customFormat="1" ht="21" customHeight="1">
      <c r="A24" s="60"/>
      <c r="B24" s="26" t="s">
        <v>47</v>
      </c>
      <c r="C24" s="26" t="s">
        <v>318</v>
      </c>
      <c r="D24" s="61">
        <v>999395676257</v>
      </c>
      <c r="E24" s="30" t="s">
        <v>48</v>
      </c>
      <c r="F24" s="46">
        <v>29</v>
      </c>
      <c r="G24" s="46">
        <v>297</v>
      </c>
      <c r="H24" s="74">
        <v>81</v>
      </c>
      <c r="I24" s="51">
        <f t="shared" si="0"/>
        <v>407</v>
      </c>
    </row>
    <row r="25" spans="1:9" s="19" customFormat="1" ht="21" customHeight="1">
      <c r="A25" s="60"/>
      <c r="B25" s="26" t="s">
        <v>49</v>
      </c>
      <c r="C25" s="26" t="s">
        <v>328</v>
      </c>
      <c r="D25" s="61">
        <v>999395676905</v>
      </c>
      <c r="E25" s="30" t="s">
        <v>50</v>
      </c>
      <c r="F25" s="79">
        <v>377</v>
      </c>
      <c r="G25" s="79">
        <v>408</v>
      </c>
      <c r="H25" s="80">
        <v>38</v>
      </c>
      <c r="I25" s="81">
        <f t="shared" si="0"/>
        <v>823</v>
      </c>
    </row>
    <row r="26" spans="1:9" ht="21" customHeight="1">
      <c r="A26" s="60"/>
      <c r="B26" s="26" t="s">
        <v>51</v>
      </c>
      <c r="C26" s="93"/>
      <c r="D26" s="61">
        <v>999395677339</v>
      </c>
      <c r="E26" s="30" t="s">
        <v>52</v>
      </c>
      <c r="F26" s="46">
        <v>329</v>
      </c>
      <c r="G26" s="46">
        <v>1462</v>
      </c>
      <c r="H26" s="74">
        <v>1</v>
      </c>
      <c r="I26" s="51">
        <f t="shared" si="0"/>
        <v>1792</v>
      </c>
    </row>
    <row r="27" spans="1:9" ht="21" customHeight="1">
      <c r="A27" s="60"/>
      <c r="B27" s="26" t="s">
        <v>53</v>
      </c>
      <c r="C27" s="93"/>
      <c r="D27" s="61">
        <v>999395680029</v>
      </c>
      <c r="E27" s="30" t="s">
        <v>54</v>
      </c>
      <c r="F27" s="46">
        <v>230</v>
      </c>
      <c r="G27" s="46">
        <v>1080</v>
      </c>
      <c r="H27" s="74">
        <v>0</v>
      </c>
      <c r="I27" s="51">
        <f t="shared" si="0"/>
        <v>1310</v>
      </c>
    </row>
    <row r="28" spans="1:9" ht="21" customHeight="1">
      <c r="A28" s="60"/>
      <c r="B28" s="26" t="s">
        <v>55</v>
      </c>
      <c r="C28" s="26" t="s">
        <v>294</v>
      </c>
      <c r="D28" s="61">
        <v>999395682858</v>
      </c>
      <c r="E28" s="30" t="s">
        <v>56</v>
      </c>
      <c r="F28" s="46">
        <v>227</v>
      </c>
      <c r="G28" s="46">
        <v>1906</v>
      </c>
      <c r="H28" s="74">
        <v>528</v>
      </c>
      <c r="I28" s="51">
        <f t="shared" si="0"/>
        <v>2661</v>
      </c>
    </row>
    <row r="29" spans="1:9" ht="21" customHeight="1">
      <c r="A29" s="60"/>
      <c r="B29" s="26" t="s">
        <v>57</v>
      </c>
      <c r="C29" s="26" t="s">
        <v>295</v>
      </c>
      <c r="D29" s="12">
        <v>512095448</v>
      </c>
      <c r="E29" s="30" t="s">
        <v>58</v>
      </c>
      <c r="F29" s="46">
        <v>377</v>
      </c>
      <c r="G29" s="46">
        <v>3686</v>
      </c>
      <c r="H29" s="74">
        <v>661</v>
      </c>
      <c r="I29" s="51">
        <f t="shared" si="0"/>
        <v>4724</v>
      </c>
    </row>
    <row r="30" spans="1:9" ht="21" customHeight="1">
      <c r="A30" s="60"/>
      <c r="B30" s="26" t="s">
        <v>59</v>
      </c>
      <c r="C30" s="26" t="s">
        <v>296</v>
      </c>
      <c r="D30" s="61">
        <v>999395695033</v>
      </c>
      <c r="E30" s="30" t="s">
        <v>60</v>
      </c>
      <c r="F30" s="46">
        <v>2310.5</v>
      </c>
      <c r="G30" s="46">
        <v>0</v>
      </c>
      <c r="H30" s="74">
        <v>0</v>
      </c>
      <c r="I30" s="51">
        <f t="shared" si="0"/>
        <v>2310.5</v>
      </c>
    </row>
    <row r="31" spans="1:9" ht="21" customHeight="1">
      <c r="A31" s="60"/>
      <c r="B31" s="26" t="s">
        <v>61</v>
      </c>
      <c r="C31" s="26" t="s">
        <v>296</v>
      </c>
      <c r="D31" s="61">
        <v>999395696742</v>
      </c>
      <c r="E31" s="30" t="s">
        <v>62</v>
      </c>
      <c r="F31" s="46">
        <v>4147</v>
      </c>
      <c r="G31" s="46">
        <v>0</v>
      </c>
      <c r="H31" s="74">
        <v>0</v>
      </c>
      <c r="I31" s="51">
        <f t="shared" si="0"/>
        <v>4147</v>
      </c>
    </row>
    <row r="32" spans="1:9" ht="21" customHeight="1">
      <c r="A32" s="60"/>
      <c r="B32" s="26" t="s">
        <v>63</v>
      </c>
      <c r="C32" s="26" t="s">
        <v>308</v>
      </c>
      <c r="D32" s="61">
        <v>999395697615</v>
      </c>
      <c r="E32" s="30" t="s">
        <v>64</v>
      </c>
      <c r="F32" s="46">
        <f>4905/2</f>
        <v>2452.5</v>
      </c>
      <c r="G32" s="46">
        <v>0</v>
      </c>
      <c r="H32" s="74">
        <v>0</v>
      </c>
      <c r="I32" s="51">
        <f t="shared" si="0"/>
        <v>2452.5</v>
      </c>
    </row>
    <row r="33" spans="1:9" ht="21" customHeight="1">
      <c r="A33" s="60"/>
      <c r="B33" s="26" t="s">
        <v>65</v>
      </c>
      <c r="C33" s="26" t="s">
        <v>297</v>
      </c>
      <c r="D33" s="61">
        <v>999395698321</v>
      </c>
      <c r="E33" s="30" t="s">
        <v>66</v>
      </c>
      <c r="F33" s="46">
        <f>5073/2</f>
        <v>2536.5</v>
      </c>
      <c r="G33" s="46">
        <v>0</v>
      </c>
      <c r="H33" s="74">
        <v>0</v>
      </c>
      <c r="I33" s="51">
        <f t="shared" si="0"/>
        <v>2536.5</v>
      </c>
    </row>
    <row r="34" spans="1:9" ht="21" customHeight="1">
      <c r="A34" s="60"/>
      <c r="B34" s="26" t="s">
        <v>67</v>
      </c>
      <c r="C34" s="26" t="s">
        <v>309</v>
      </c>
      <c r="D34" s="62">
        <v>999395698661</v>
      </c>
      <c r="E34" s="31" t="s">
        <v>68</v>
      </c>
      <c r="F34" s="47">
        <f>2035/2</f>
        <v>1017.5</v>
      </c>
      <c r="G34" s="47">
        <v>0</v>
      </c>
      <c r="H34" s="75">
        <v>0</v>
      </c>
      <c r="I34" s="51">
        <f t="shared" si="0"/>
        <v>1017.5</v>
      </c>
    </row>
    <row r="35" spans="1:9" s="20" customFormat="1" ht="21" customHeight="1">
      <c r="A35" s="60"/>
      <c r="B35" s="26" t="s">
        <v>69</v>
      </c>
      <c r="C35" s="26"/>
      <c r="D35" s="61">
        <v>999395699042</v>
      </c>
      <c r="E35" s="30" t="s">
        <v>70</v>
      </c>
      <c r="F35" s="46">
        <f>6323/2</f>
        <v>3161.5</v>
      </c>
      <c r="G35" s="46">
        <v>0</v>
      </c>
      <c r="H35" s="74">
        <v>0</v>
      </c>
      <c r="I35" s="51">
        <f t="shared" si="0"/>
        <v>3161.5</v>
      </c>
    </row>
    <row r="36" spans="1:9" ht="21" customHeight="1">
      <c r="A36" s="60"/>
      <c r="B36" s="26" t="s">
        <v>71</v>
      </c>
      <c r="C36" s="93"/>
      <c r="D36" s="61">
        <v>999395699192</v>
      </c>
      <c r="E36" s="30" t="s">
        <v>72</v>
      </c>
      <c r="F36" s="47">
        <f>2150/2</f>
        <v>1075</v>
      </c>
      <c r="G36" s="47">
        <v>0</v>
      </c>
      <c r="H36" s="75">
        <v>0</v>
      </c>
      <c r="I36" s="92">
        <f t="shared" si="0"/>
        <v>1075</v>
      </c>
    </row>
    <row r="37" spans="1:9" ht="21" customHeight="1">
      <c r="A37" s="60"/>
      <c r="B37" s="26" t="s">
        <v>73</v>
      </c>
      <c r="C37" s="93"/>
      <c r="D37" s="61">
        <v>999395699382</v>
      </c>
      <c r="E37" s="30" t="s">
        <v>74</v>
      </c>
      <c r="F37" s="46">
        <f>2572/2</f>
        <v>1286</v>
      </c>
      <c r="G37" s="46">
        <v>0</v>
      </c>
      <c r="H37" s="74">
        <v>0</v>
      </c>
      <c r="I37" s="51">
        <f t="shared" si="0"/>
        <v>1286</v>
      </c>
    </row>
    <row r="38" spans="1:9" ht="21" customHeight="1">
      <c r="A38" s="60"/>
      <c r="B38" s="26" t="s">
        <v>75</v>
      </c>
      <c r="C38" s="26" t="s">
        <v>298</v>
      </c>
      <c r="D38" s="61">
        <v>999395699631</v>
      </c>
      <c r="E38" s="30" t="s">
        <v>76</v>
      </c>
      <c r="F38" s="46">
        <f>255/2</f>
        <v>127.5</v>
      </c>
      <c r="G38" s="46">
        <v>0</v>
      </c>
      <c r="H38" s="74">
        <v>0</v>
      </c>
      <c r="I38" s="51">
        <f t="shared" si="0"/>
        <v>127.5</v>
      </c>
    </row>
    <row r="39" spans="1:9" ht="21" customHeight="1">
      <c r="A39" s="60"/>
      <c r="B39" s="26" t="s">
        <v>77</v>
      </c>
      <c r="C39" s="93"/>
      <c r="D39" s="61">
        <v>999395699855</v>
      </c>
      <c r="E39" s="30" t="s">
        <v>78</v>
      </c>
      <c r="F39" s="46">
        <f>1555/2</f>
        <v>777.5</v>
      </c>
      <c r="G39" s="46">
        <v>0</v>
      </c>
      <c r="H39" s="74">
        <v>0</v>
      </c>
      <c r="I39" s="51">
        <f t="shared" si="0"/>
        <v>777.5</v>
      </c>
    </row>
    <row r="40" spans="1:9" ht="21" customHeight="1">
      <c r="A40" s="60"/>
      <c r="B40" s="26" t="s">
        <v>79</v>
      </c>
      <c r="C40" s="26" t="s">
        <v>299</v>
      </c>
      <c r="D40" s="61">
        <v>999395699914</v>
      </c>
      <c r="E40" s="30" t="s">
        <v>80</v>
      </c>
      <c r="F40" s="46">
        <f>3111/2</f>
        <v>1555.5</v>
      </c>
      <c r="G40" s="46">
        <v>0</v>
      </c>
      <c r="H40" s="74">
        <v>0</v>
      </c>
      <c r="I40" s="51">
        <f t="shared" si="0"/>
        <v>1555.5</v>
      </c>
    </row>
    <row r="41" spans="1:9" ht="21" customHeight="1">
      <c r="A41" s="60"/>
      <c r="B41" s="26" t="s">
        <v>81</v>
      </c>
      <c r="C41" s="26" t="s">
        <v>329</v>
      </c>
      <c r="D41" s="61">
        <v>999395720675</v>
      </c>
      <c r="E41" s="30" t="s">
        <v>82</v>
      </c>
      <c r="F41" s="46">
        <f>6982/2</f>
        <v>3491</v>
      </c>
      <c r="G41" s="46">
        <v>0</v>
      </c>
      <c r="H41" s="74">
        <v>0</v>
      </c>
      <c r="I41" s="51">
        <f t="shared" si="0"/>
        <v>3491</v>
      </c>
    </row>
    <row r="42" spans="1:9" ht="21" customHeight="1">
      <c r="A42" s="60"/>
      <c r="B42" s="26" t="s">
        <v>83</v>
      </c>
      <c r="C42" s="26" t="s">
        <v>300</v>
      </c>
      <c r="D42" s="61">
        <v>999395721493</v>
      </c>
      <c r="E42" s="30" t="s">
        <v>84</v>
      </c>
      <c r="F42" s="46">
        <f>4571/2</f>
        <v>2285.5</v>
      </c>
      <c r="G42" s="46">
        <v>0</v>
      </c>
      <c r="H42" s="74">
        <v>0</v>
      </c>
      <c r="I42" s="51">
        <f t="shared" si="0"/>
        <v>2285.5</v>
      </c>
    </row>
    <row r="43" spans="1:9" ht="21" customHeight="1">
      <c r="A43" s="60"/>
      <c r="B43" s="26" t="s">
        <v>85</v>
      </c>
      <c r="C43" s="26"/>
      <c r="D43" s="61">
        <v>999395728957</v>
      </c>
      <c r="E43" s="30" t="s">
        <v>86</v>
      </c>
      <c r="F43" s="46">
        <f>621/2</f>
        <v>310.5</v>
      </c>
      <c r="G43" s="46">
        <v>0</v>
      </c>
      <c r="H43" s="74">
        <v>0</v>
      </c>
      <c r="I43" s="51">
        <f t="shared" si="0"/>
        <v>310.5</v>
      </c>
    </row>
    <row r="44" spans="1:9" ht="21" customHeight="1">
      <c r="A44" s="60"/>
      <c r="B44" s="26" t="s">
        <v>87</v>
      </c>
      <c r="C44" s="26" t="s">
        <v>330</v>
      </c>
      <c r="D44" s="61">
        <v>999395729357</v>
      </c>
      <c r="E44" s="30" t="s">
        <v>88</v>
      </c>
      <c r="F44" s="46">
        <f>1351/2</f>
        <v>675.5</v>
      </c>
      <c r="G44" s="46">
        <v>0</v>
      </c>
      <c r="H44" s="74">
        <v>0</v>
      </c>
      <c r="I44" s="51">
        <f t="shared" si="0"/>
        <v>675.5</v>
      </c>
    </row>
    <row r="45" spans="1:9" ht="21" customHeight="1">
      <c r="A45" s="60"/>
      <c r="B45" s="26" t="s">
        <v>89</v>
      </c>
      <c r="C45" s="93"/>
      <c r="D45" s="61">
        <v>999395729815</v>
      </c>
      <c r="E45" s="30" t="s">
        <v>90</v>
      </c>
      <c r="F45" s="46">
        <f>1036/2</f>
        <v>518</v>
      </c>
      <c r="G45" s="46">
        <v>0</v>
      </c>
      <c r="H45" s="74">
        <v>0</v>
      </c>
      <c r="I45" s="51">
        <f t="shared" si="0"/>
        <v>518</v>
      </c>
    </row>
    <row r="46" spans="1:9" ht="21" customHeight="1">
      <c r="A46" s="60"/>
      <c r="B46" s="26" t="s">
        <v>94</v>
      </c>
      <c r="C46" s="26" t="s">
        <v>331</v>
      </c>
      <c r="D46" s="61">
        <v>999395730546</v>
      </c>
      <c r="E46" s="30" t="s">
        <v>91</v>
      </c>
      <c r="F46" s="46">
        <f>36/2</f>
        <v>18</v>
      </c>
      <c r="G46" s="46">
        <v>0</v>
      </c>
      <c r="H46" s="74">
        <v>0</v>
      </c>
      <c r="I46" s="51">
        <f t="shared" si="0"/>
        <v>18</v>
      </c>
    </row>
    <row r="47" spans="1:9" ht="21" customHeight="1">
      <c r="A47" s="60"/>
      <c r="B47" s="26" t="s">
        <v>92</v>
      </c>
      <c r="C47" s="26" t="s">
        <v>319</v>
      </c>
      <c r="D47" s="61">
        <v>999395731005</v>
      </c>
      <c r="E47" s="32" t="s">
        <v>93</v>
      </c>
      <c r="F47" s="46">
        <f>1134/2</f>
        <v>567</v>
      </c>
      <c r="G47" s="46">
        <v>0</v>
      </c>
      <c r="H47" s="74">
        <v>0</v>
      </c>
      <c r="I47" s="51">
        <f t="shared" si="0"/>
        <v>567</v>
      </c>
    </row>
    <row r="48" spans="1:9" ht="21" customHeight="1">
      <c r="A48" s="60"/>
      <c r="B48" s="26" t="s">
        <v>95</v>
      </c>
      <c r="C48" s="93"/>
      <c r="D48" s="61">
        <v>999395731797</v>
      </c>
      <c r="E48" s="30" t="s">
        <v>96</v>
      </c>
      <c r="F48" s="46">
        <f>751/2</f>
        <v>375.5</v>
      </c>
      <c r="G48" s="46">
        <v>0</v>
      </c>
      <c r="H48" s="74">
        <v>0</v>
      </c>
      <c r="I48" s="51">
        <f t="shared" si="0"/>
        <v>375.5</v>
      </c>
    </row>
    <row r="49" spans="1:9" ht="21" customHeight="1">
      <c r="A49" s="60"/>
      <c r="B49" s="26" t="s">
        <v>97</v>
      </c>
      <c r="C49" s="26"/>
      <c r="D49" s="61">
        <v>999395850272</v>
      </c>
      <c r="E49" s="30" t="s">
        <v>98</v>
      </c>
      <c r="F49" s="46">
        <v>2079</v>
      </c>
      <c r="G49" s="46">
        <v>1352</v>
      </c>
      <c r="H49" s="74">
        <v>3887</v>
      </c>
      <c r="I49" s="51">
        <f t="shared" si="0"/>
        <v>7318</v>
      </c>
    </row>
    <row r="50" spans="1:9" ht="21" customHeight="1">
      <c r="A50" s="60"/>
      <c r="B50" s="26" t="s">
        <v>99</v>
      </c>
      <c r="C50" s="93"/>
      <c r="D50" s="61">
        <v>999395869847</v>
      </c>
      <c r="E50" s="30" t="s">
        <v>100</v>
      </c>
      <c r="F50" s="46">
        <v>968</v>
      </c>
      <c r="G50" s="46">
        <v>2272</v>
      </c>
      <c r="H50" s="74">
        <v>0</v>
      </c>
      <c r="I50" s="51">
        <f t="shared" si="0"/>
        <v>3240</v>
      </c>
    </row>
    <row r="51" spans="1:9" ht="21" customHeight="1">
      <c r="A51" s="60"/>
      <c r="B51" s="26" t="s">
        <v>101</v>
      </c>
      <c r="C51" s="26" t="s">
        <v>371</v>
      </c>
      <c r="D51" s="12">
        <v>83007836944</v>
      </c>
      <c r="E51" s="30" t="s">
        <v>102</v>
      </c>
      <c r="F51" s="46">
        <f>921/2</f>
        <v>460.5</v>
      </c>
      <c r="G51" s="46">
        <v>0</v>
      </c>
      <c r="H51" s="74">
        <v>0</v>
      </c>
      <c r="I51" s="51">
        <f t="shared" si="0"/>
        <v>460.5</v>
      </c>
    </row>
    <row r="52" spans="1:9" ht="21" customHeight="1">
      <c r="A52" s="60"/>
      <c r="B52" s="26" t="s">
        <v>103</v>
      </c>
      <c r="C52" s="26" t="s">
        <v>286</v>
      </c>
      <c r="D52" s="61">
        <v>999418107083</v>
      </c>
      <c r="E52" s="30" t="s">
        <v>104</v>
      </c>
      <c r="F52" s="46">
        <f>13329/2</f>
        <v>6664.5</v>
      </c>
      <c r="G52" s="46">
        <v>0</v>
      </c>
      <c r="H52" s="74">
        <v>0</v>
      </c>
      <c r="I52" s="51">
        <f t="shared" si="0"/>
        <v>6664.5</v>
      </c>
    </row>
    <row r="53" spans="1:9" ht="21" customHeight="1">
      <c r="A53" s="60"/>
      <c r="B53" s="26" t="s">
        <v>105</v>
      </c>
      <c r="C53" s="26" t="s">
        <v>332</v>
      </c>
      <c r="D53" s="61">
        <v>999418108530</v>
      </c>
      <c r="E53" s="30" t="s">
        <v>106</v>
      </c>
      <c r="F53" s="46">
        <v>531</v>
      </c>
      <c r="G53" s="46">
        <v>963</v>
      </c>
      <c r="H53" s="74">
        <v>254</v>
      </c>
      <c r="I53" s="51">
        <f t="shared" si="0"/>
        <v>1748</v>
      </c>
    </row>
    <row r="54" spans="1:9" ht="21" customHeight="1">
      <c r="A54" s="60"/>
      <c r="B54" s="26" t="s">
        <v>107</v>
      </c>
      <c r="C54" s="26" t="s">
        <v>302</v>
      </c>
      <c r="D54" s="61">
        <v>999444028261</v>
      </c>
      <c r="E54" s="30" t="s">
        <v>108</v>
      </c>
      <c r="F54" s="46">
        <v>16</v>
      </c>
      <c r="G54" s="46">
        <v>52</v>
      </c>
      <c r="H54" s="74">
        <v>35</v>
      </c>
      <c r="I54" s="51">
        <f t="shared" si="0"/>
        <v>103</v>
      </c>
    </row>
    <row r="55" spans="1:9" ht="21" customHeight="1">
      <c r="A55" s="60"/>
      <c r="B55" s="26" t="s">
        <v>109</v>
      </c>
      <c r="C55" s="26" t="s">
        <v>313</v>
      </c>
      <c r="D55" s="12">
        <v>83000769293</v>
      </c>
      <c r="E55" s="30" t="s">
        <v>110</v>
      </c>
      <c r="F55" s="46">
        <v>524</v>
      </c>
      <c r="G55" s="46">
        <v>662</v>
      </c>
      <c r="H55" s="74">
        <v>123</v>
      </c>
      <c r="I55" s="51">
        <f t="shared" si="0"/>
        <v>1309</v>
      </c>
    </row>
    <row r="56" spans="1:9" s="19" customFormat="1" ht="21" customHeight="1">
      <c r="A56" s="60"/>
      <c r="B56" s="35" t="s">
        <v>125</v>
      </c>
      <c r="C56" s="94"/>
      <c r="D56" s="36">
        <v>60006203645</v>
      </c>
      <c r="E56" s="37" t="s">
        <v>126</v>
      </c>
      <c r="F56" s="48">
        <v>114</v>
      </c>
      <c r="G56" s="46">
        <v>0</v>
      </c>
      <c r="H56" s="48">
        <v>0</v>
      </c>
      <c r="I56" s="51">
        <f t="shared" si="0"/>
        <v>114</v>
      </c>
    </row>
    <row r="57" spans="1:9" s="29" customFormat="1" ht="21" customHeight="1">
      <c r="A57" s="60"/>
      <c r="B57" s="26" t="s">
        <v>127</v>
      </c>
      <c r="C57" s="93"/>
      <c r="D57" s="12">
        <v>60007966411</v>
      </c>
      <c r="E57" s="30" t="s">
        <v>128</v>
      </c>
      <c r="F57" s="46">
        <v>411</v>
      </c>
      <c r="G57" s="46">
        <v>0</v>
      </c>
      <c r="H57" s="74">
        <v>0</v>
      </c>
      <c r="I57" s="51">
        <f t="shared" si="0"/>
        <v>411</v>
      </c>
    </row>
    <row r="58" spans="1:9" ht="21" customHeight="1">
      <c r="A58" s="60"/>
      <c r="B58" s="26" t="s">
        <v>129</v>
      </c>
      <c r="C58" s="26" t="s">
        <v>289</v>
      </c>
      <c r="D58" s="12">
        <v>60006643135</v>
      </c>
      <c r="E58" s="30" t="s">
        <v>130</v>
      </c>
      <c r="F58" s="46">
        <f>694/2</f>
        <v>347</v>
      </c>
      <c r="G58" s="46">
        <v>0</v>
      </c>
      <c r="H58" s="74">
        <v>0</v>
      </c>
      <c r="I58" s="51">
        <f t="shared" si="0"/>
        <v>347</v>
      </c>
    </row>
    <row r="59" spans="1:9" ht="21" customHeight="1">
      <c r="A59" s="60"/>
      <c r="B59" s="26" t="s">
        <v>131</v>
      </c>
      <c r="C59" s="93"/>
      <c r="D59" s="12">
        <v>60007843244</v>
      </c>
      <c r="E59" s="30" t="s">
        <v>132</v>
      </c>
      <c r="F59" s="46">
        <f>553/2</f>
        <v>276.5</v>
      </c>
      <c r="G59" s="46">
        <v>0</v>
      </c>
      <c r="H59" s="74">
        <v>0</v>
      </c>
      <c r="I59" s="51">
        <f t="shared" si="0"/>
        <v>276.5</v>
      </c>
    </row>
    <row r="60" spans="1:9" ht="21" customHeight="1">
      <c r="A60" s="60"/>
      <c r="B60" s="26" t="s">
        <v>133</v>
      </c>
      <c r="C60" s="26" t="s">
        <v>322</v>
      </c>
      <c r="D60" s="12">
        <v>60007843069</v>
      </c>
      <c r="E60" s="30" t="s">
        <v>134</v>
      </c>
      <c r="F60" s="46">
        <f>738/2</f>
        <v>369</v>
      </c>
      <c r="G60" s="46">
        <v>0</v>
      </c>
      <c r="H60" s="74">
        <v>0</v>
      </c>
      <c r="I60" s="51">
        <f aca="true" t="shared" si="1" ref="I60:I120">F60+G60+H60</f>
        <v>369</v>
      </c>
    </row>
    <row r="61" spans="1:9" ht="21" customHeight="1">
      <c r="A61" s="60"/>
      <c r="B61" s="26" t="s">
        <v>135</v>
      </c>
      <c r="C61" s="26" t="s">
        <v>353</v>
      </c>
      <c r="D61" s="12">
        <v>60007843073</v>
      </c>
      <c r="E61" s="30" t="s">
        <v>136</v>
      </c>
      <c r="F61" s="46">
        <f>605/2</f>
        <v>302.5</v>
      </c>
      <c r="G61" s="46">
        <v>0</v>
      </c>
      <c r="H61" s="74">
        <v>0</v>
      </c>
      <c r="I61" s="51">
        <f t="shared" si="1"/>
        <v>302.5</v>
      </c>
    </row>
    <row r="62" spans="1:9" ht="21" customHeight="1">
      <c r="A62" s="60"/>
      <c r="B62" s="26" t="s">
        <v>137</v>
      </c>
      <c r="C62" s="93"/>
      <c r="D62" s="12">
        <v>60007843356</v>
      </c>
      <c r="E62" s="30" t="s">
        <v>138</v>
      </c>
      <c r="F62" s="46">
        <f>110/2</f>
        <v>55</v>
      </c>
      <c r="G62" s="46">
        <v>0</v>
      </c>
      <c r="H62" s="74">
        <v>0</v>
      </c>
      <c r="I62" s="51">
        <f t="shared" si="1"/>
        <v>55</v>
      </c>
    </row>
    <row r="63" spans="1:9" ht="21" customHeight="1">
      <c r="A63" s="60"/>
      <c r="B63" s="26" t="s">
        <v>139</v>
      </c>
      <c r="C63" s="93"/>
      <c r="D63" s="12">
        <v>60007847274</v>
      </c>
      <c r="E63" s="30" t="s">
        <v>140</v>
      </c>
      <c r="F63" s="46">
        <f>306/2</f>
        <v>153</v>
      </c>
      <c r="G63" s="46">
        <v>0</v>
      </c>
      <c r="H63" s="74">
        <v>0</v>
      </c>
      <c r="I63" s="51">
        <f t="shared" si="1"/>
        <v>153</v>
      </c>
    </row>
    <row r="64" spans="1:9" ht="21" customHeight="1">
      <c r="A64" s="60"/>
      <c r="B64" s="26" t="s">
        <v>141</v>
      </c>
      <c r="C64" s="93"/>
      <c r="D64" s="12">
        <v>60007847482</v>
      </c>
      <c r="E64" s="30" t="s">
        <v>142</v>
      </c>
      <c r="F64" s="46">
        <v>426</v>
      </c>
      <c r="G64" s="46">
        <v>0</v>
      </c>
      <c r="H64" s="74">
        <v>0</v>
      </c>
      <c r="I64" s="51">
        <f t="shared" si="1"/>
        <v>426</v>
      </c>
    </row>
    <row r="65" spans="1:9" ht="21" customHeight="1">
      <c r="A65" s="60"/>
      <c r="B65" s="26" t="s">
        <v>143</v>
      </c>
      <c r="C65" s="26" t="s">
        <v>323</v>
      </c>
      <c r="D65" s="12">
        <v>60007858040</v>
      </c>
      <c r="E65" s="78" t="s">
        <v>144</v>
      </c>
      <c r="F65" s="46">
        <v>70</v>
      </c>
      <c r="G65" s="46">
        <v>0</v>
      </c>
      <c r="H65" s="74">
        <v>0</v>
      </c>
      <c r="I65" s="51">
        <f t="shared" si="1"/>
        <v>70</v>
      </c>
    </row>
    <row r="66" spans="1:9" ht="21" customHeight="1">
      <c r="A66" s="60"/>
      <c r="B66" s="43" t="s">
        <v>145</v>
      </c>
      <c r="C66" s="43" t="s">
        <v>358</v>
      </c>
      <c r="D66" s="44">
        <v>60007889355</v>
      </c>
      <c r="E66" s="37" t="s">
        <v>146</v>
      </c>
      <c r="F66" s="46">
        <f>263/2</f>
        <v>131.5</v>
      </c>
      <c r="G66" s="46">
        <v>0</v>
      </c>
      <c r="H66" s="74">
        <v>0</v>
      </c>
      <c r="I66" s="51">
        <f t="shared" si="1"/>
        <v>131.5</v>
      </c>
    </row>
    <row r="67" spans="1:9" ht="21" customHeight="1">
      <c r="A67" s="60"/>
      <c r="B67" s="41" t="s">
        <v>147</v>
      </c>
      <c r="C67" s="41" t="s">
        <v>311</v>
      </c>
      <c r="D67" s="40">
        <v>60007899611</v>
      </c>
      <c r="E67" s="42" t="s">
        <v>148</v>
      </c>
      <c r="F67" s="47">
        <v>660</v>
      </c>
      <c r="G67" s="47">
        <v>0</v>
      </c>
      <c r="H67" s="75">
        <v>0</v>
      </c>
      <c r="I67" s="51">
        <f t="shared" si="1"/>
        <v>660</v>
      </c>
    </row>
    <row r="68" spans="1:9" ht="21" customHeight="1">
      <c r="A68" s="60"/>
      <c r="B68" s="26" t="s">
        <v>149</v>
      </c>
      <c r="C68" s="93"/>
      <c r="D68" s="12">
        <v>60008073286</v>
      </c>
      <c r="E68" s="30" t="s">
        <v>150</v>
      </c>
      <c r="F68" s="46">
        <f>10/2</f>
        <v>5</v>
      </c>
      <c r="G68" s="46">
        <v>0</v>
      </c>
      <c r="H68" s="74">
        <v>0</v>
      </c>
      <c r="I68" s="51">
        <f t="shared" si="1"/>
        <v>5</v>
      </c>
    </row>
    <row r="69" spans="1:9" s="29" customFormat="1" ht="21" customHeight="1">
      <c r="A69" s="60"/>
      <c r="B69" s="26" t="s">
        <v>151</v>
      </c>
      <c r="C69" s="26"/>
      <c r="D69" s="12">
        <v>60008101006</v>
      </c>
      <c r="E69" s="30" t="s">
        <v>152</v>
      </c>
      <c r="F69" s="46">
        <v>17</v>
      </c>
      <c r="G69" s="46">
        <v>0</v>
      </c>
      <c r="H69" s="74">
        <v>0</v>
      </c>
      <c r="I69" s="51">
        <f t="shared" si="1"/>
        <v>17</v>
      </c>
    </row>
    <row r="70" spans="1:9" s="29" customFormat="1" ht="21" customHeight="1">
      <c r="A70" s="60"/>
      <c r="B70" s="26" t="s">
        <v>153</v>
      </c>
      <c r="C70" s="26" t="s">
        <v>359</v>
      </c>
      <c r="D70" s="12">
        <v>60008115357</v>
      </c>
      <c r="E70" s="30" t="s">
        <v>154</v>
      </c>
      <c r="F70" s="46">
        <v>402</v>
      </c>
      <c r="G70" s="46">
        <v>0</v>
      </c>
      <c r="H70" s="74">
        <v>0</v>
      </c>
      <c r="I70" s="51">
        <f t="shared" si="1"/>
        <v>402</v>
      </c>
    </row>
    <row r="71" spans="1:9" s="20" customFormat="1" ht="21" customHeight="1">
      <c r="A71" s="60"/>
      <c r="B71" s="26" t="s">
        <v>155</v>
      </c>
      <c r="C71" s="26" t="s">
        <v>312</v>
      </c>
      <c r="D71" s="12">
        <v>60008450632</v>
      </c>
      <c r="E71" s="30" t="s">
        <v>156</v>
      </c>
      <c r="F71" s="46">
        <v>36</v>
      </c>
      <c r="G71" s="46">
        <v>0</v>
      </c>
      <c r="H71" s="74">
        <v>0</v>
      </c>
      <c r="I71" s="51">
        <f t="shared" si="1"/>
        <v>36</v>
      </c>
    </row>
    <row r="72" spans="1:9" ht="21" customHeight="1">
      <c r="A72" s="60"/>
      <c r="B72" s="26" t="s">
        <v>157</v>
      </c>
      <c r="C72" s="26" t="s">
        <v>360</v>
      </c>
      <c r="D72" s="12">
        <v>60008427213</v>
      </c>
      <c r="E72" s="30" t="s">
        <v>158</v>
      </c>
      <c r="F72" s="46">
        <f>114/2</f>
        <v>57</v>
      </c>
      <c r="G72" s="46">
        <v>0</v>
      </c>
      <c r="H72" s="74">
        <v>0</v>
      </c>
      <c r="I72" s="51">
        <f t="shared" si="1"/>
        <v>57</v>
      </c>
    </row>
    <row r="73" spans="1:9" ht="21" customHeight="1">
      <c r="A73" s="60"/>
      <c r="B73" s="26" t="s">
        <v>159</v>
      </c>
      <c r="C73" s="26" t="s">
        <v>361</v>
      </c>
      <c r="D73" s="12">
        <v>60008475541</v>
      </c>
      <c r="E73" s="30" t="s">
        <v>160</v>
      </c>
      <c r="F73" s="46">
        <f>839/2</f>
        <v>419.5</v>
      </c>
      <c r="G73" s="46">
        <v>0</v>
      </c>
      <c r="H73" s="74">
        <v>0</v>
      </c>
      <c r="I73" s="51">
        <f t="shared" si="1"/>
        <v>419.5</v>
      </c>
    </row>
    <row r="74" spans="1:9" ht="21" customHeight="1">
      <c r="A74" s="60"/>
      <c r="B74" s="26" t="s">
        <v>161</v>
      </c>
      <c r="C74" s="93"/>
      <c r="D74" s="12">
        <v>60008368817</v>
      </c>
      <c r="E74" s="30" t="s">
        <v>162</v>
      </c>
      <c r="F74" s="46">
        <v>123</v>
      </c>
      <c r="G74" s="46">
        <v>0</v>
      </c>
      <c r="H74" s="74">
        <v>0</v>
      </c>
      <c r="I74" s="51">
        <f t="shared" si="1"/>
        <v>123</v>
      </c>
    </row>
    <row r="75" spans="1:9" ht="21" customHeight="1">
      <c r="A75" s="60"/>
      <c r="B75" s="26" t="s">
        <v>163</v>
      </c>
      <c r="C75" s="26" t="s">
        <v>372</v>
      </c>
      <c r="D75" s="12">
        <v>60091069643</v>
      </c>
      <c r="E75" s="30" t="s">
        <v>164</v>
      </c>
      <c r="F75" s="46">
        <v>0</v>
      </c>
      <c r="G75" s="46">
        <v>0</v>
      </c>
      <c r="H75" s="74">
        <v>0</v>
      </c>
      <c r="I75" s="51">
        <f t="shared" si="1"/>
        <v>0</v>
      </c>
    </row>
    <row r="76" spans="1:9" ht="21" customHeight="1">
      <c r="A76" s="60"/>
      <c r="B76" s="26" t="s">
        <v>165</v>
      </c>
      <c r="C76" s="26" t="s">
        <v>363</v>
      </c>
      <c r="D76" s="12">
        <v>60089709450</v>
      </c>
      <c r="E76" s="30" t="s">
        <v>166</v>
      </c>
      <c r="F76" s="46">
        <v>81</v>
      </c>
      <c r="G76" s="46">
        <v>0</v>
      </c>
      <c r="H76" s="74">
        <v>0</v>
      </c>
      <c r="I76" s="51">
        <f t="shared" si="1"/>
        <v>81</v>
      </c>
    </row>
    <row r="77" spans="1:9" ht="21" customHeight="1">
      <c r="A77" s="60"/>
      <c r="B77" s="26" t="s">
        <v>167</v>
      </c>
      <c r="C77" s="26" t="s">
        <v>362</v>
      </c>
      <c r="D77" s="12">
        <v>60089553056</v>
      </c>
      <c r="E77" s="30" t="s">
        <v>168</v>
      </c>
      <c r="F77" s="46">
        <f>3386/2</f>
        <v>1693</v>
      </c>
      <c r="G77" s="46">
        <v>0</v>
      </c>
      <c r="H77" s="74">
        <v>0</v>
      </c>
      <c r="I77" s="51">
        <f t="shared" si="1"/>
        <v>1693</v>
      </c>
    </row>
    <row r="78" spans="1:9" ht="21" customHeight="1">
      <c r="A78" s="60"/>
      <c r="B78" s="26" t="s">
        <v>169</v>
      </c>
      <c r="C78" s="26" t="s">
        <v>364</v>
      </c>
      <c r="D78" s="17">
        <v>60090692774</v>
      </c>
      <c r="E78" s="31" t="s">
        <v>170</v>
      </c>
      <c r="F78" s="46">
        <v>5</v>
      </c>
      <c r="G78" s="46">
        <v>0</v>
      </c>
      <c r="H78" s="74">
        <v>0</v>
      </c>
      <c r="I78" s="51">
        <f t="shared" si="1"/>
        <v>5</v>
      </c>
    </row>
    <row r="79" spans="1:9" ht="21" customHeight="1">
      <c r="A79" s="60"/>
      <c r="B79" s="26" t="s">
        <v>171</v>
      </c>
      <c r="C79" s="93"/>
      <c r="D79" s="12">
        <v>60006579681</v>
      </c>
      <c r="E79" s="30" t="s">
        <v>172</v>
      </c>
      <c r="F79" s="46">
        <v>54</v>
      </c>
      <c r="G79" s="46">
        <v>0</v>
      </c>
      <c r="H79" s="74">
        <v>0</v>
      </c>
      <c r="I79" s="51">
        <f t="shared" si="1"/>
        <v>54</v>
      </c>
    </row>
    <row r="80" spans="1:9" ht="21" customHeight="1">
      <c r="A80" s="60"/>
      <c r="B80" s="26" t="s">
        <v>173</v>
      </c>
      <c r="C80" s="26" t="s">
        <v>333</v>
      </c>
      <c r="D80" s="12">
        <v>60006586696</v>
      </c>
      <c r="E80" s="30" t="s">
        <v>174</v>
      </c>
      <c r="F80" s="46">
        <f>1795/2</f>
        <v>897.5</v>
      </c>
      <c r="G80" s="46">
        <v>0</v>
      </c>
      <c r="H80" s="74">
        <v>0</v>
      </c>
      <c r="I80" s="51">
        <f t="shared" si="1"/>
        <v>897.5</v>
      </c>
    </row>
    <row r="81" spans="1:9" s="29" customFormat="1" ht="21" customHeight="1">
      <c r="A81" s="60"/>
      <c r="B81" s="26" t="s">
        <v>175</v>
      </c>
      <c r="C81" s="93"/>
      <c r="D81" s="17">
        <v>60006586704</v>
      </c>
      <c r="E81" s="31" t="s">
        <v>176</v>
      </c>
      <c r="F81" s="46">
        <f>151/2</f>
        <v>75.5</v>
      </c>
      <c r="G81" s="46">
        <v>0</v>
      </c>
      <c r="H81" s="74">
        <v>0</v>
      </c>
      <c r="I81" s="51">
        <f t="shared" si="1"/>
        <v>75.5</v>
      </c>
    </row>
    <row r="82" spans="1:9" ht="21" customHeight="1">
      <c r="A82" s="60"/>
      <c r="B82" s="26" t="s">
        <v>177</v>
      </c>
      <c r="C82" s="26" t="s">
        <v>370</v>
      </c>
      <c r="D82" s="12">
        <v>60006587652</v>
      </c>
      <c r="E82" s="33" t="s">
        <v>178</v>
      </c>
      <c r="F82" s="47">
        <f>995/2</f>
        <v>497.5</v>
      </c>
      <c r="G82" s="47">
        <v>0</v>
      </c>
      <c r="H82" s="75">
        <v>0</v>
      </c>
      <c r="I82" s="51">
        <f t="shared" si="1"/>
        <v>497.5</v>
      </c>
    </row>
    <row r="83" spans="1:9" s="20" customFormat="1" ht="21" customHeight="1">
      <c r="A83" s="60"/>
      <c r="B83" s="26" t="s">
        <v>179</v>
      </c>
      <c r="C83" s="26" t="s">
        <v>334</v>
      </c>
      <c r="D83" s="12">
        <v>60006587671</v>
      </c>
      <c r="E83" s="30" t="s">
        <v>180</v>
      </c>
      <c r="F83" s="49">
        <f>832/2</f>
        <v>416</v>
      </c>
      <c r="G83" s="49">
        <v>0</v>
      </c>
      <c r="H83" s="76">
        <v>0</v>
      </c>
      <c r="I83" s="51">
        <f t="shared" si="1"/>
        <v>416</v>
      </c>
    </row>
    <row r="84" spans="1:9" ht="21" customHeight="1">
      <c r="A84" s="60"/>
      <c r="B84" s="26" t="s">
        <v>181</v>
      </c>
      <c r="C84" s="26" t="s">
        <v>335</v>
      </c>
      <c r="D84" s="12">
        <v>60006593566</v>
      </c>
      <c r="E84" s="30" t="s">
        <v>182</v>
      </c>
      <c r="F84" s="46">
        <f>747/2</f>
        <v>373.5</v>
      </c>
      <c r="G84" s="46">
        <v>0</v>
      </c>
      <c r="H84" s="74">
        <v>0</v>
      </c>
      <c r="I84" s="51">
        <f t="shared" si="1"/>
        <v>373.5</v>
      </c>
    </row>
    <row r="85" spans="1:9" ht="21" customHeight="1">
      <c r="A85" s="60"/>
      <c r="B85" s="26" t="s">
        <v>183</v>
      </c>
      <c r="C85" s="26" t="s">
        <v>336</v>
      </c>
      <c r="D85" s="12">
        <v>60006601563</v>
      </c>
      <c r="E85" s="30" t="s">
        <v>184</v>
      </c>
      <c r="F85" s="46">
        <f>1009/2</f>
        <v>504.5</v>
      </c>
      <c r="G85" s="46">
        <v>0</v>
      </c>
      <c r="H85" s="74">
        <v>0</v>
      </c>
      <c r="I85" s="51">
        <f t="shared" si="1"/>
        <v>504.5</v>
      </c>
    </row>
    <row r="86" spans="1:9" ht="21" customHeight="1">
      <c r="A86" s="60"/>
      <c r="B86" s="26" t="s">
        <v>185</v>
      </c>
      <c r="C86" s="26" t="s">
        <v>310</v>
      </c>
      <c r="D86" s="12">
        <v>60006630551</v>
      </c>
      <c r="E86" s="30" t="s">
        <v>186</v>
      </c>
      <c r="F86" s="46">
        <f>1235/2</f>
        <v>617.5</v>
      </c>
      <c r="G86" s="46">
        <v>0</v>
      </c>
      <c r="H86" s="74">
        <v>0</v>
      </c>
      <c r="I86" s="51">
        <f t="shared" si="1"/>
        <v>617.5</v>
      </c>
    </row>
    <row r="87" spans="1:9" s="20" customFormat="1" ht="21" customHeight="1">
      <c r="A87" s="60"/>
      <c r="B87" s="26" t="s">
        <v>187</v>
      </c>
      <c r="C87" s="26" t="s">
        <v>287</v>
      </c>
      <c r="D87" s="12">
        <v>60006631759</v>
      </c>
      <c r="E87" s="30" t="s">
        <v>188</v>
      </c>
      <c r="F87" s="46">
        <f>756/2</f>
        <v>378</v>
      </c>
      <c r="G87" s="46">
        <v>0</v>
      </c>
      <c r="H87" s="74">
        <v>0</v>
      </c>
      <c r="I87" s="51">
        <f t="shared" si="1"/>
        <v>378</v>
      </c>
    </row>
    <row r="88" spans="1:9" s="29" customFormat="1" ht="21" customHeight="1">
      <c r="A88" s="60"/>
      <c r="B88" s="26" t="s">
        <v>189</v>
      </c>
      <c r="C88" s="26" t="s">
        <v>339</v>
      </c>
      <c r="D88" s="12">
        <v>60006631974</v>
      </c>
      <c r="E88" s="30" t="s">
        <v>190</v>
      </c>
      <c r="F88" s="46">
        <v>1148</v>
      </c>
      <c r="G88" s="46">
        <v>0</v>
      </c>
      <c r="H88" s="74">
        <v>0</v>
      </c>
      <c r="I88" s="51">
        <f t="shared" si="1"/>
        <v>1148</v>
      </c>
    </row>
    <row r="89" spans="1:9" ht="21" customHeight="1">
      <c r="A89" s="60"/>
      <c r="B89" s="26" t="s">
        <v>191</v>
      </c>
      <c r="C89" s="26" t="s">
        <v>356</v>
      </c>
      <c r="D89" s="12">
        <v>60007843337</v>
      </c>
      <c r="E89" s="30" t="s">
        <v>192</v>
      </c>
      <c r="F89" s="46">
        <f>1138/2</f>
        <v>569</v>
      </c>
      <c r="G89" s="46">
        <v>0</v>
      </c>
      <c r="H89" s="74">
        <v>0</v>
      </c>
      <c r="I89" s="51">
        <f t="shared" si="1"/>
        <v>569</v>
      </c>
    </row>
    <row r="90" spans="1:9" ht="21" customHeight="1">
      <c r="A90" s="60"/>
      <c r="B90" s="26" t="s">
        <v>193</v>
      </c>
      <c r="C90" s="26" t="s">
        <v>305</v>
      </c>
      <c r="D90" s="12">
        <v>60006631992</v>
      </c>
      <c r="E90" s="30" t="s">
        <v>194</v>
      </c>
      <c r="F90" s="46">
        <v>1653</v>
      </c>
      <c r="G90" s="46">
        <v>0</v>
      </c>
      <c r="H90" s="74">
        <v>0</v>
      </c>
      <c r="I90" s="51">
        <f t="shared" si="1"/>
        <v>1653</v>
      </c>
    </row>
    <row r="91" spans="1:9" ht="21" customHeight="1">
      <c r="A91" s="60"/>
      <c r="B91" s="26" t="s">
        <v>195</v>
      </c>
      <c r="C91" s="26" t="s">
        <v>341</v>
      </c>
      <c r="D91" s="12">
        <v>60006632013</v>
      </c>
      <c r="E91" s="30" t="s">
        <v>196</v>
      </c>
      <c r="F91" s="46">
        <f>121/2</f>
        <v>60.5</v>
      </c>
      <c r="G91" s="46">
        <v>0</v>
      </c>
      <c r="H91" s="74">
        <v>0</v>
      </c>
      <c r="I91" s="51">
        <f t="shared" si="1"/>
        <v>60.5</v>
      </c>
    </row>
    <row r="92" spans="1:9" ht="21" customHeight="1">
      <c r="A92" s="60"/>
      <c r="B92" s="26" t="s">
        <v>197</v>
      </c>
      <c r="C92" s="26" t="s">
        <v>288</v>
      </c>
      <c r="D92" s="12">
        <v>60006632028</v>
      </c>
      <c r="E92" s="30" t="s">
        <v>198</v>
      </c>
      <c r="F92" s="46">
        <f>4321/2</f>
        <v>2160.5</v>
      </c>
      <c r="G92" s="46">
        <v>0</v>
      </c>
      <c r="H92" s="74">
        <v>0</v>
      </c>
      <c r="I92" s="51">
        <f t="shared" si="1"/>
        <v>2160.5</v>
      </c>
    </row>
    <row r="93" spans="1:10" ht="21" customHeight="1">
      <c r="A93" s="60"/>
      <c r="B93" s="26" t="s">
        <v>199</v>
      </c>
      <c r="C93" s="26" t="s">
        <v>342</v>
      </c>
      <c r="D93" s="12">
        <v>60006632034</v>
      </c>
      <c r="E93" s="30" t="s">
        <v>200</v>
      </c>
      <c r="F93" s="46">
        <v>146</v>
      </c>
      <c r="G93" s="46">
        <v>0</v>
      </c>
      <c r="H93" s="74">
        <v>0</v>
      </c>
      <c r="I93" s="51">
        <f t="shared" si="1"/>
        <v>146</v>
      </c>
      <c r="J93" s="21"/>
    </row>
    <row r="94" spans="1:9" ht="21" customHeight="1">
      <c r="A94" s="60"/>
      <c r="B94" s="26" t="s">
        <v>201</v>
      </c>
      <c r="C94" s="26" t="s">
        <v>343</v>
      </c>
      <c r="D94" s="12">
        <v>60006637176</v>
      </c>
      <c r="E94" s="30" t="s">
        <v>202</v>
      </c>
      <c r="F94" s="46">
        <f>586/3</f>
        <v>195.33333333333334</v>
      </c>
      <c r="G94" s="46">
        <v>0</v>
      </c>
      <c r="H94" s="74">
        <v>0</v>
      </c>
      <c r="I94" s="51">
        <f t="shared" si="1"/>
        <v>195.33333333333334</v>
      </c>
    </row>
    <row r="95" spans="1:9" ht="21" customHeight="1">
      <c r="A95" s="60"/>
      <c r="B95" s="26" t="s">
        <v>203</v>
      </c>
      <c r="C95" s="93"/>
      <c r="D95" s="12">
        <v>60006637235</v>
      </c>
      <c r="E95" s="30" t="s">
        <v>204</v>
      </c>
      <c r="F95" s="46">
        <f>151/2</f>
        <v>75.5</v>
      </c>
      <c r="G95" s="46">
        <v>0</v>
      </c>
      <c r="H95" s="74">
        <v>0</v>
      </c>
      <c r="I95" s="51">
        <f t="shared" si="1"/>
        <v>75.5</v>
      </c>
    </row>
    <row r="96" spans="1:9" ht="21" customHeight="1">
      <c r="A96" s="60"/>
      <c r="B96" s="26" t="s">
        <v>205</v>
      </c>
      <c r="C96" s="26" t="s">
        <v>306</v>
      </c>
      <c r="D96" s="12">
        <v>60006637714</v>
      </c>
      <c r="E96" s="30" t="s">
        <v>206</v>
      </c>
      <c r="F96" s="46">
        <f>246/2</f>
        <v>123</v>
      </c>
      <c r="G96" s="46">
        <v>0</v>
      </c>
      <c r="H96" s="74">
        <v>0</v>
      </c>
      <c r="I96" s="51">
        <f t="shared" si="1"/>
        <v>123</v>
      </c>
    </row>
    <row r="97" spans="1:9" ht="21" customHeight="1">
      <c r="A97" s="60"/>
      <c r="B97" s="26" t="s">
        <v>207</v>
      </c>
      <c r="C97" s="93"/>
      <c r="D97" s="12">
        <v>60006642108</v>
      </c>
      <c r="E97" s="30" t="s">
        <v>208</v>
      </c>
      <c r="F97" s="46">
        <f>151/2</f>
        <v>75.5</v>
      </c>
      <c r="G97" s="46">
        <v>0</v>
      </c>
      <c r="H97" s="74">
        <v>0</v>
      </c>
      <c r="I97" s="51">
        <f t="shared" si="1"/>
        <v>75.5</v>
      </c>
    </row>
    <row r="98" spans="1:9" ht="21" customHeight="1">
      <c r="A98" s="60"/>
      <c r="B98" s="26" t="s">
        <v>209</v>
      </c>
      <c r="C98" s="93"/>
      <c r="D98" s="12">
        <v>60006642114</v>
      </c>
      <c r="E98" s="30" t="s">
        <v>210</v>
      </c>
      <c r="F98" s="46">
        <f>151/2</f>
        <v>75.5</v>
      </c>
      <c r="G98" s="46">
        <v>0</v>
      </c>
      <c r="H98" s="74">
        <v>0</v>
      </c>
      <c r="I98" s="51">
        <f t="shared" si="1"/>
        <v>75.5</v>
      </c>
    </row>
    <row r="99" spans="1:9" ht="21" customHeight="1">
      <c r="A99" s="60"/>
      <c r="B99" s="26" t="s">
        <v>211</v>
      </c>
      <c r="C99" s="26" t="s">
        <v>290</v>
      </c>
      <c r="D99" s="12">
        <v>60006644426</v>
      </c>
      <c r="E99" s="30" t="s">
        <v>212</v>
      </c>
      <c r="F99" s="46">
        <v>347</v>
      </c>
      <c r="G99" s="46">
        <v>0</v>
      </c>
      <c r="H99" s="74">
        <v>0</v>
      </c>
      <c r="I99" s="51">
        <f t="shared" si="1"/>
        <v>347</v>
      </c>
    </row>
    <row r="100" spans="1:9" ht="21" customHeight="1">
      <c r="A100" s="60"/>
      <c r="B100" s="26" t="s">
        <v>213</v>
      </c>
      <c r="C100" s="93"/>
      <c r="D100" s="12">
        <v>60006644431</v>
      </c>
      <c r="E100" s="30" t="s">
        <v>214</v>
      </c>
      <c r="F100" s="46">
        <v>525</v>
      </c>
      <c r="G100" s="46">
        <v>0</v>
      </c>
      <c r="H100" s="74">
        <v>0</v>
      </c>
      <c r="I100" s="51">
        <f t="shared" si="1"/>
        <v>525</v>
      </c>
    </row>
    <row r="101" spans="1:9" ht="21" customHeight="1">
      <c r="A101" s="60"/>
      <c r="B101" s="26" t="s">
        <v>215</v>
      </c>
      <c r="C101" s="26" t="s">
        <v>344</v>
      </c>
      <c r="D101" s="12">
        <v>60006644654</v>
      </c>
      <c r="E101" s="30" t="s">
        <v>216</v>
      </c>
      <c r="F101" s="47">
        <f>152/2</f>
        <v>76</v>
      </c>
      <c r="G101" s="47">
        <v>0</v>
      </c>
      <c r="H101" s="75">
        <v>0</v>
      </c>
      <c r="I101" s="92">
        <f t="shared" si="1"/>
        <v>76</v>
      </c>
    </row>
    <row r="102" spans="1:9" ht="21" customHeight="1">
      <c r="A102" s="60"/>
      <c r="B102" s="26" t="s">
        <v>217</v>
      </c>
      <c r="C102" s="93"/>
      <c r="D102" s="12">
        <v>60007182237</v>
      </c>
      <c r="E102" s="30" t="s">
        <v>218</v>
      </c>
      <c r="F102" s="46"/>
      <c r="G102" s="46"/>
      <c r="H102" s="74"/>
      <c r="I102" s="51">
        <f t="shared" si="1"/>
        <v>0</v>
      </c>
    </row>
    <row r="103" spans="1:9" ht="21" customHeight="1">
      <c r="A103" s="60"/>
      <c r="B103" s="26" t="s">
        <v>219</v>
      </c>
      <c r="C103" s="26" t="s">
        <v>354</v>
      </c>
      <c r="D103" s="12">
        <v>60007843211</v>
      </c>
      <c r="E103" s="30" t="s">
        <v>220</v>
      </c>
      <c r="F103" s="46">
        <v>143</v>
      </c>
      <c r="G103" s="46">
        <v>0</v>
      </c>
      <c r="H103" s="74">
        <v>0</v>
      </c>
      <c r="I103" s="51">
        <f t="shared" si="1"/>
        <v>143</v>
      </c>
    </row>
    <row r="104" spans="1:9" ht="21" customHeight="1">
      <c r="A104" s="60"/>
      <c r="B104" s="26" t="s">
        <v>221</v>
      </c>
      <c r="C104" s="26" t="s">
        <v>355</v>
      </c>
      <c r="D104" s="12">
        <v>60007843225</v>
      </c>
      <c r="E104" s="30" t="s">
        <v>222</v>
      </c>
      <c r="F104" s="46">
        <v>0</v>
      </c>
      <c r="G104" s="46">
        <v>0</v>
      </c>
      <c r="H104" s="74">
        <v>0</v>
      </c>
      <c r="I104" s="51">
        <f t="shared" si="1"/>
        <v>0</v>
      </c>
    </row>
    <row r="105" spans="1:9" ht="21" customHeight="1">
      <c r="A105" s="60"/>
      <c r="B105" s="26" t="s">
        <v>223</v>
      </c>
      <c r="C105" s="26" t="s">
        <v>347</v>
      </c>
      <c r="D105" s="12">
        <v>60007211343</v>
      </c>
      <c r="E105" s="30" t="s">
        <v>224</v>
      </c>
      <c r="F105" s="46">
        <v>0</v>
      </c>
      <c r="G105" s="46">
        <v>0</v>
      </c>
      <c r="H105" s="74">
        <v>0</v>
      </c>
      <c r="I105" s="51">
        <f t="shared" si="1"/>
        <v>0</v>
      </c>
    </row>
    <row r="106" spans="1:9" ht="21" customHeight="1">
      <c r="A106" s="60"/>
      <c r="B106" s="26" t="s">
        <v>225</v>
      </c>
      <c r="C106" s="26" t="s">
        <v>346</v>
      </c>
      <c r="D106" s="12">
        <v>60007211339</v>
      </c>
      <c r="E106" s="30" t="s">
        <v>226</v>
      </c>
      <c r="F106" s="46">
        <f>314/2</f>
        <v>157</v>
      </c>
      <c r="G106" s="46">
        <v>0</v>
      </c>
      <c r="H106" s="74">
        <v>0</v>
      </c>
      <c r="I106" s="51">
        <f t="shared" si="1"/>
        <v>157</v>
      </c>
    </row>
    <row r="107" spans="1:9" ht="21" customHeight="1">
      <c r="A107" s="60"/>
      <c r="B107" s="26" t="s">
        <v>227</v>
      </c>
      <c r="C107" s="26" t="s">
        <v>291</v>
      </c>
      <c r="D107" s="12">
        <v>60007239731</v>
      </c>
      <c r="E107" s="30" t="s">
        <v>228</v>
      </c>
      <c r="F107" s="46">
        <f>2008/2</f>
        <v>1004</v>
      </c>
      <c r="G107" s="46">
        <v>0</v>
      </c>
      <c r="H107" s="74">
        <v>0</v>
      </c>
      <c r="I107" s="51">
        <f t="shared" si="1"/>
        <v>1004</v>
      </c>
    </row>
    <row r="108" spans="1:9" ht="21" customHeight="1">
      <c r="A108" s="60"/>
      <c r="B108" s="26" t="s">
        <v>229</v>
      </c>
      <c r="C108" s="26" t="s">
        <v>348</v>
      </c>
      <c r="D108" s="12">
        <v>60007483419</v>
      </c>
      <c r="E108" s="30" t="s">
        <v>230</v>
      </c>
      <c r="F108" s="46">
        <f>843/2</f>
        <v>421.5</v>
      </c>
      <c r="G108" s="46">
        <v>0</v>
      </c>
      <c r="H108" s="74">
        <v>0</v>
      </c>
      <c r="I108" s="51">
        <f t="shared" si="1"/>
        <v>421.5</v>
      </c>
    </row>
    <row r="109" spans="1:9" ht="21" customHeight="1">
      <c r="A109" s="60"/>
      <c r="B109" s="26" t="s">
        <v>231</v>
      </c>
      <c r="C109" s="26" t="s">
        <v>301</v>
      </c>
      <c r="D109" s="12">
        <v>60006579638</v>
      </c>
      <c r="E109" s="30" t="s">
        <v>232</v>
      </c>
      <c r="F109" s="46">
        <v>0</v>
      </c>
      <c r="G109" s="46">
        <v>0</v>
      </c>
      <c r="H109" s="74">
        <v>0</v>
      </c>
      <c r="I109" s="51">
        <f t="shared" si="1"/>
        <v>0</v>
      </c>
    </row>
    <row r="110" spans="1:9" ht="21" customHeight="1">
      <c r="A110" s="60"/>
      <c r="B110" s="26" t="s">
        <v>233</v>
      </c>
      <c r="C110" s="26" t="s">
        <v>349</v>
      </c>
      <c r="D110" s="12">
        <v>60006579657</v>
      </c>
      <c r="E110" s="30" t="s">
        <v>234</v>
      </c>
      <c r="F110" s="46">
        <v>608</v>
      </c>
      <c r="G110" s="46">
        <v>0</v>
      </c>
      <c r="H110" s="74">
        <v>0</v>
      </c>
      <c r="I110" s="51">
        <f t="shared" si="1"/>
        <v>608</v>
      </c>
    </row>
    <row r="111" spans="1:9" ht="21" customHeight="1">
      <c r="A111" s="60"/>
      <c r="B111" s="26" t="s">
        <v>235</v>
      </c>
      <c r="C111" s="93"/>
      <c r="D111" s="12">
        <v>60006579676</v>
      </c>
      <c r="E111" s="30" t="s">
        <v>236</v>
      </c>
      <c r="F111" s="46">
        <v>7</v>
      </c>
      <c r="G111" s="46">
        <v>0</v>
      </c>
      <c r="H111" s="74">
        <v>0</v>
      </c>
      <c r="I111" s="51">
        <f t="shared" si="1"/>
        <v>7</v>
      </c>
    </row>
    <row r="112" spans="1:9" ht="21" customHeight="1">
      <c r="A112" s="60"/>
      <c r="B112" s="26" t="s">
        <v>237</v>
      </c>
      <c r="C112" s="26" t="s">
        <v>351</v>
      </c>
      <c r="D112" s="12">
        <v>60007631681</v>
      </c>
      <c r="E112" s="30" t="s">
        <v>238</v>
      </c>
      <c r="F112" s="46">
        <v>14</v>
      </c>
      <c r="G112" s="46">
        <v>0</v>
      </c>
      <c r="H112" s="74">
        <v>0</v>
      </c>
      <c r="I112" s="51">
        <f t="shared" si="1"/>
        <v>14</v>
      </c>
    </row>
    <row r="113" spans="1:9" ht="21" customHeight="1">
      <c r="A113" s="60"/>
      <c r="B113" s="26" t="s">
        <v>239</v>
      </c>
      <c r="C113" s="26" t="s">
        <v>357</v>
      </c>
      <c r="D113" s="12">
        <v>60007848373</v>
      </c>
      <c r="E113" s="30" t="s">
        <v>240</v>
      </c>
      <c r="F113" s="46">
        <f>1898/2</f>
        <v>949</v>
      </c>
      <c r="G113" s="46">
        <v>0</v>
      </c>
      <c r="H113" s="74">
        <v>0</v>
      </c>
      <c r="I113" s="51">
        <f t="shared" si="1"/>
        <v>949</v>
      </c>
    </row>
    <row r="114" spans="1:9" ht="21" customHeight="1">
      <c r="A114" s="60"/>
      <c r="B114" s="26" t="s">
        <v>241</v>
      </c>
      <c r="C114" s="26" t="s">
        <v>338</v>
      </c>
      <c r="D114" s="12">
        <v>60006631880</v>
      </c>
      <c r="E114" s="30" t="s">
        <v>242</v>
      </c>
      <c r="F114" s="46">
        <f>378/2</f>
        <v>189</v>
      </c>
      <c r="G114" s="46">
        <v>0</v>
      </c>
      <c r="H114" s="74">
        <v>0</v>
      </c>
      <c r="I114" s="51">
        <f t="shared" si="1"/>
        <v>189</v>
      </c>
    </row>
    <row r="115" spans="1:9" ht="21" customHeight="1">
      <c r="A115" s="64"/>
      <c r="B115" s="26" t="s">
        <v>243</v>
      </c>
      <c r="C115" s="26" t="s">
        <v>320</v>
      </c>
      <c r="D115" s="12">
        <v>60006631920</v>
      </c>
      <c r="E115" s="30" t="s">
        <v>244</v>
      </c>
      <c r="F115" s="49">
        <f>1935/2</f>
        <v>967.5</v>
      </c>
      <c r="G115" s="49">
        <v>0</v>
      </c>
      <c r="H115" s="76">
        <v>0</v>
      </c>
      <c r="I115" s="51">
        <f t="shared" si="1"/>
        <v>967.5</v>
      </c>
    </row>
    <row r="116" spans="1:9" ht="21" customHeight="1">
      <c r="A116" s="64"/>
      <c r="B116" s="26" t="s">
        <v>245</v>
      </c>
      <c r="C116" s="26" t="s">
        <v>340</v>
      </c>
      <c r="D116" s="12">
        <v>60006631987</v>
      </c>
      <c r="E116" s="30" t="s">
        <v>246</v>
      </c>
      <c r="F116" s="49">
        <f>3881/2</f>
        <v>1940.5</v>
      </c>
      <c r="G116" s="49">
        <v>0</v>
      </c>
      <c r="H116" s="76">
        <v>0</v>
      </c>
      <c r="I116" s="51">
        <f t="shared" si="1"/>
        <v>1940.5</v>
      </c>
    </row>
    <row r="117" spans="1:9" ht="21" customHeight="1">
      <c r="A117" s="64"/>
      <c r="B117" s="26" t="s">
        <v>247</v>
      </c>
      <c r="C117" s="26" t="s">
        <v>373</v>
      </c>
      <c r="D117" s="12">
        <v>60006632009</v>
      </c>
      <c r="E117" s="30" t="s">
        <v>248</v>
      </c>
      <c r="F117" s="49">
        <f>4015/2</f>
        <v>2007.5</v>
      </c>
      <c r="G117" s="49">
        <v>0</v>
      </c>
      <c r="H117" s="76">
        <v>0</v>
      </c>
      <c r="I117" s="51">
        <f t="shared" si="1"/>
        <v>2007.5</v>
      </c>
    </row>
    <row r="118" spans="1:9" ht="21" customHeight="1">
      <c r="A118" s="64"/>
      <c r="B118" s="26" t="s">
        <v>249</v>
      </c>
      <c r="C118" s="26" t="s">
        <v>350</v>
      </c>
      <c r="D118" s="12">
        <v>60007611240</v>
      </c>
      <c r="E118" s="30" t="s">
        <v>250</v>
      </c>
      <c r="F118" s="49">
        <f>3639/2</f>
        <v>1819.5</v>
      </c>
      <c r="G118" s="49">
        <v>0</v>
      </c>
      <c r="H118" s="76">
        <v>0</v>
      </c>
      <c r="I118" s="51">
        <f t="shared" si="1"/>
        <v>1819.5</v>
      </c>
    </row>
    <row r="119" spans="1:9" ht="21" customHeight="1">
      <c r="A119" s="64"/>
      <c r="B119" s="26" t="s">
        <v>251</v>
      </c>
      <c r="C119" s="26" t="s">
        <v>337</v>
      </c>
      <c r="D119" s="12">
        <v>60006613294</v>
      </c>
      <c r="E119" s="30" t="s">
        <v>252</v>
      </c>
      <c r="F119" s="49">
        <f>974/2</f>
        <v>487</v>
      </c>
      <c r="G119" s="49">
        <v>0</v>
      </c>
      <c r="H119" s="76">
        <v>0</v>
      </c>
      <c r="I119" s="51">
        <f t="shared" si="1"/>
        <v>487</v>
      </c>
    </row>
    <row r="120" spans="1:9" ht="21" customHeight="1">
      <c r="A120" s="64"/>
      <c r="B120" s="26" t="s">
        <v>253</v>
      </c>
      <c r="C120" s="26" t="s">
        <v>303</v>
      </c>
      <c r="D120" s="12">
        <v>60006631725</v>
      </c>
      <c r="E120" s="30" t="s">
        <v>254</v>
      </c>
      <c r="F120" s="49">
        <f>2343/2</f>
        <v>1171.5</v>
      </c>
      <c r="G120" s="49">
        <v>0</v>
      </c>
      <c r="H120" s="76">
        <v>0</v>
      </c>
      <c r="I120" s="51">
        <f t="shared" si="1"/>
        <v>1171.5</v>
      </c>
    </row>
    <row r="121" spans="1:9" ht="21" customHeight="1">
      <c r="A121" s="64"/>
      <c r="B121" s="26" t="s">
        <v>255</v>
      </c>
      <c r="C121" s="26" t="s">
        <v>304</v>
      </c>
      <c r="D121" s="12">
        <v>60006631818</v>
      </c>
      <c r="E121" s="30" t="s">
        <v>256</v>
      </c>
      <c r="F121" s="49">
        <f>69/2+61/2</f>
        <v>65</v>
      </c>
      <c r="G121" s="49">
        <v>0</v>
      </c>
      <c r="H121" s="76">
        <v>0</v>
      </c>
      <c r="I121" s="51">
        <f aca="true" t="shared" si="2" ref="I121:I130">F121+G121+H121</f>
        <v>65</v>
      </c>
    </row>
    <row r="122" spans="1:9" ht="21" customHeight="1">
      <c r="A122" s="64"/>
      <c r="B122" s="25" t="s">
        <v>257</v>
      </c>
      <c r="C122" s="95"/>
      <c r="D122" s="14">
        <v>60006631824</v>
      </c>
      <c r="E122" s="45" t="s">
        <v>258</v>
      </c>
      <c r="F122" s="49">
        <f>8845*0.25+8505*0.25</f>
        <v>4337.5</v>
      </c>
      <c r="G122" s="49">
        <v>0</v>
      </c>
      <c r="H122" s="76">
        <v>0</v>
      </c>
      <c r="I122" s="51">
        <f t="shared" si="2"/>
        <v>4337.5</v>
      </c>
    </row>
    <row r="123" spans="1:9" ht="21" customHeight="1">
      <c r="A123" s="64"/>
      <c r="B123" s="25" t="s">
        <v>259</v>
      </c>
      <c r="C123" s="25" t="s">
        <v>345</v>
      </c>
      <c r="D123" s="14">
        <v>60006872372</v>
      </c>
      <c r="E123" s="45" t="s">
        <v>260</v>
      </c>
      <c r="F123" s="49">
        <v>173</v>
      </c>
      <c r="G123" s="49">
        <v>0</v>
      </c>
      <c r="H123" s="76">
        <v>0</v>
      </c>
      <c r="I123" s="51">
        <f t="shared" si="2"/>
        <v>173</v>
      </c>
    </row>
    <row r="124" spans="1:9" ht="21" customHeight="1">
      <c r="A124" s="64"/>
      <c r="B124" s="25" t="s">
        <v>261</v>
      </c>
      <c r="C124" s="25" t="s">
        <v>321</v>
      </c>
      <c r="D124" s="14">
        <v>60006974384</v>
      </c>
      <c r="E124" s="45" t="s">
        <v>262</v>
      </c>
      <c r="F124" s="49">
        <f>855/2</f>
        <v>427.5</v>
      </c>
      <c r="G124" s="49">
        <v>0</v>
      </c>
      <c r="H124" s="76">
        <v>0</v>
      </c>
      <c r="I124" s="51">
        <f t="shared" si="2"/>
        <v>427.5</v>
      </c>
    </row>
    <row r="125" spans="1:9" ht="21" customHeight="1">
      <c r="A125" s="64"/>
      <c r="B125" s="25" t="s">
        <v>263</v>
      </c>
      <c r="C125" s="25" t="s">
        <v>368</v>
      </c>
      <c r="D125" s="14">
        <v>60006581324</v>
      </c>
      <c r="E125" s="45" t="s">
        <v>264</v>
      </c>
      <c r="F125" s="49">
        <v>2950</v>
      </c>
      <c r="G125" s="49">
        <v>0</v>
      </c>
      <c r="H125" s="76">
        <v>0</v>
      </c>
      <c r="I125" s="51">
        <f t="shared" si="2"/>
        <v>2950</v>
      </c>
    </row>
    <row r="126" spans="1:9" ht="21" customHeight="1">
      <c r="A126" s="64"/>
      <c r="B126" s="25" t="s">
        <v>265</v>
      </c>
      <c r="C126" s="25" t="s">
        <v>352</v>
      </c>
      <c r="D126" s="14">
        <v>60007651627</v>
      </c>
      <c r="E126" s="45" t="s">
        <v>266</v>
      </c>
      <c r="F126" s="49">
        <v>24</v>
      </c>
      <c r="G126" s="49">
        <v>0</v>
      </c>
      <c r="H126" s="76">
        <v>0</v>
      </c>
      <c r="I126" s="51">
        <f t="shared" si="2"/>
        <v>24</v>
      </c>
    </row>
    <row r="127" spans="1:9" ht="21" customHeight="1">
      <c r="A127" s="64"/>
      <c r="B127" s="25" t="s">
        <v>267</v>
      </c>
      <c r="C127" s="95"/>
      <c r="D127" s="14">
        <v>83007351147</v>
      </c>
      <c r="E127" s="45" t="s">
        <v>268</v>
      </c>
      <c r="F127" s="49">
        <v>17</v>
      </c>
      <c r="G127" s="49">
        <v>0</v>
      </c>
      <c r="H127" s="76">
        <v>0</v>
      </c>
      <c r="I127" s="51">
        <f t="shared" si="2"/>
        <v>17</v>
      </c>
    </row>
    <row r="128" spans="1:9" ht="21" customHeight="1">
      <c r="A128" s="64"/>
      <c r="B128" s="25" t="s">
        <v>269</v>
      </c>
      <c r="C128" s="25"/>
      <c r="D128" s="14">
        <v>83007705623</v>
      </c>
      <c r="E128" s="45" t="s">
        <v>270</v>
      </c>
      <c r="F128" s="49">
        <v>16</v>
      </c>
      <c r="G128" s="49">
        <v>0</v>
      </c>
      <c r="H128" s="76">
        <v>0</v>
      </c>
      <c r="I128" s="51">
        <f t="shared" si="2"/>
        <v>16</v>
      </c>
    </row>
    <row r="129" spans="1:9" ht="21" customHeight="1">
      <c r="A129" s="64"/>
      <c r="B129" s="25" t="s">
        <v>271</v>
      </c>
      <c r="C129" s="25"/>
      <c r="D129" s="14">
        <v>83007812488</v>
      </c>
      <c r="E129" s="45" t="s">
        <v>272</v>
      </c>
      <c r="F129" s="49">
        <v>344</v>
      </c>
      <c r="G129" s="49">
        <v>0</v>
      </c>
      <c r="H129" s="76">
        <v>0</v>
      </c>
      <c r="I129" s="51">
        <f t="shared" si="2"/>
        <v>344</v>
      </c>
    </row>
    <row r="130" spans="1:9" ht="21" customHeight="1">
      <c r="A130" s="64"/>
      <c r="B130" s="25" t="s">
        <v>273</v>
      </c>
      <c r="C130" s="25"/>
      <c r="D130" s="14">
        <v>83007946440</v>
      </c>
      <c r="E130" s="45" t="s">
        <v>274</v>
      </c>
      <c r="F130" s="49"/>
      <c r="G130" s="49"/>
      <c r="H130" s="76"/>
      <c r="I130" s="51">
        <f t="shared" si="2"/>
        <v>0</v>
      </c>
    </row>
    <row r="131" spans="1:9" ht="21" customHeight="1" thickBot="1">
      <c r="A131" s="65" t="s">
        <v>0</v>
      </c>
      <c r="B131" s="66"/>
      <c r="C131" s="66"/>
      <c r="D131" s="13"/>
      <c r="E131" s="13"/>
      <c r="F131" s="69"/>
      <c r="G131" s="69"/>
      <c r="H131" s="77"/>
      <c r="I131" s="70">
        <f>SUM(I8:I130)</f>
        <v>153213.33333333334</v>
      </c>
    </row>
    <row r="132" ht="13.5" thickTop="1"/>
  </sheetData>
  <sheetProtection/>
  <mergeCells count="3">
    <mergeCell ref="F4:I4"/>
    <mergeCell ref="G3:I3"/>
    <mergeCell ref="F2:I2"/>
  </mergeCells>
  <printOptions horizontalCentered="1"/>
  <pageMargins left="0.3937007874015748" right="0.3937007874015748" top="0.5905511811023623" bottom="0.5905511811023623" header="0" footer="0"/>
  <pageSetup fitToHeight="0" fitToWidth="1" horizontalDpi="300" verticalDpi="300" orientation="portrait" paperSize="9" scale="31" r:id="rId1"/>
  <headerFooter alignWithMargins="0">
    <oddHeader>&amp;R&amp;D</oddHeader>
    <oddFooter>&amp;CPágina &amp;P de &amp;N</oddFooter>
  </headerFooter>
  <colBreaks count="1" manualBreakCount="1">
    <brk id="9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O131"/>
  <sheetViews>
    <sheetView zoomScale="90" zoomScaleNormal="90" zoomScalePageLayoutView="0" workbookViewId="0" topLeftCell="D122">
      <selection activeCell="A54" sqref="A54:IV56"/>
    </sheetView>
  </sheetViews>
  <sheetFormatPr defaultColWidth="11.421875" defaultRowHeight="12.75"/>
  <cols>
    <col min="1" max="1" width="15.140625" style="1" customWidth="1"/>
    <col min="2" max="2" width="86.28125" style="21" customWidth="1"/>
    <col min="3" max="3" width="102.28125" style="21" customWidth="1"/>
    <col min="4" max="4" width="22.7109375" style="1" customWidth="1"/>
    <col min="5" max="5" width="34.28125" style="1" hidden="1" customWidth="1"/>
    <col min="6" max="6" width="22.57421875" style="2" customWidth="1"/>
    <col min="7" max="7" width="22.421875" style="2" customWidth="1"/>
    <col min="8" max="8" width="19.140625" style="2" customWidth="1"/>
    <col min="9" max="9" width="22.7109375" style="2" customWidth="1"/>
    <col min="10" max="10" width="11.421875" style="1" customWidth="1"/>
    <col min="11" max="11" width="11.57421875" style="1" bestFit="1" customWidth="1"/>
    <col min="12" max="16384" width="11.421875" style="1" customWidth="1"/>
  </cols>
  <sheetData>
    <row r="1" ht="15.75" customHeight="1"/>
    <row r="2" spans="7:9" ht="42.75" customHeight="1">
      <c r="G2" s="96" t="s">
        <v>9</v>
      </c>
      <c r="H2" s="96"/>
      <c r="I2" s="96"/>
    </row>
    <row r="3" spans="8:9" ht="33.75" customHeight="1">
      <c r="H3" s="97"/>
      <c r="I3" s="97"/>
    </row>
    <row r="4" spans="7:9" ht="21.75" customHeight="1">
      <c r="G4" s="98" t="s">
        <v>275</v>
      </c>
      <c r="H4" s="98"/>
      <c r="I4" s="98"/>
    </row>
    <row r="5" ht="15.75" customHeight="1"/>
    <row r="6" spans="1:8" ht="15.75" customHeight="1" thickBot="1">
      <c r="A6" s="3"/>
      <c r="B6" s="22"/>
      <c r="C6" s="22"/>
      <c r="D6" s="3"/>
      <c r="E6" s="3"/>
      <c r="F6" s="4"/>
      <c r="G6" s="4"/>
      <c r="H6" s="4"/>
    </row>
    <row r="7" spans="1:9" ht="21" customHeight="1" thickTop="1">
      <c r="A7" s="5" t="s">
        <v>1</v>
      </c>
      <c r="B7" s="23" t="s">
        <v>3</v>
      </c>
      <c r="C7" s="23" t="s">
        <v>285</v>
      </c>
      <c r="D7" s="11" t="s">
        <v>2</v>
      </c>
      <c r="E7" s="11" t="s">
        <v>11</v>
      </c>
      <c r="F7" s="6" t="s">
        <v>6</v>
      </c>
      <c r="G7" s="6" t="s">
        <v>7</v>
      </c>
      <c r="H7" s="6" t="s">
        <v>8</v>
      </c>
      <c r="I7" s="7" t="s">
        <v>0</v>
      </c>
    </row>
    <row r="8" spans="1:9" ht="21" customHeight="1">
      <c r="A8" s="27"/>
      <c r="B8" s="72" t="s">
        <v>15</v>
      </c>
      <c r="C8" s="72" t="s">
        <v>316</v>
      </c>
      <c r="D8" s="12">
        <v>83006884161</v>
      </c>
      <c r="E8" s="30" t="s">
        <v>16</v>
      </c>
      <c r="F8" s="8">
        <v>198.65</v>
      </c>
      <c r="G8" s="8">
        <v>5.41</v>
      </c>
      <c r="H8" s="8">
        <v>1.27</v>
      </c>
      <c r="I8" s="9">
        <f aca="true" t="shared" si="0" ref="I8:I58">SUM(F8:H8)</f>
        <v>205.33</v>
      </c>
    </row>
    <row r="9" spans="1:9" ht="21" customHeight="1">
      <c r="A9" s="27"/>
      <c r="B9" s="26" t="s">
        <v>17</v>
      </c>
      <c r="C9" s="26" t="s">
        <v>314</v>
      </c>
      <c r="D9" s="12">
        <v>83001699293</v>
      </c>
      <c r="E9" s="30" t="s">
        <v>19</v>
      </c>
      <c r="F9" s="8">
        <v>252.47</v>
      </c>
      <c r="G9" s="8">
        <v>7.42</v>
      </c>
      <c r="H9" s="8">
        <v>0.35</v>
      </c>
      <c r="I9" s="9">
        <f t="shared" si="0"/>
        <v>260.24</v>
      </c>
    </row>
    <row r="10" spans="1:9" ht="21" customHeight="1">
      <c r="A10" s="27"/>
      <c r="B10" s="26" t="s">
        <v>18</v>
      </c>
      <c r="C10" s="26" t="s">
        <v>324</v>
      </c>
      <c r="D10" s="12">
        <v>83002793469</v>
      </c>
      <c r="E10" s="30" t="s">
        <v>20</v>
      </c>
      <c r="F10" s="8">
        <v>1110.95</v>
      </c>
      <c r="G10" s="8">
        <v>32.24</v>
      </c>
      <c r="H10" s="8">
        <v>2.55</v>
      </c>
      <c r="I10" s="9">
        <f t="shared" si="0"/>
        <v>1145.74</v>
      </c>
    </row>
    <row r="11" spans="1:9" ht="21" customHeight="1">
      <c r="A11" s="27"/>
      <c r="B11" s="26" t="s">
        <v>21</v>
      </c>
      <c r="C11" s="26" t="s">
        <v>365</v>
      </c>
      <c r="D11" s="12">
        <v>83005319585</v>
      </c>
      <c r="E11" s="30" t="s">
        <v>22</v>
      </c>
      <c r="F11" s="8">
        <v>190.93</v>
      </c>
      <c r="G11" s="8">
        <v>5.18</v>
      </c>
      <c r="H11" s="8">
        <v>1.27</v>
      </c>
      <c r="I11" s="9">
        <f t="shared" si="0"/>
        <v>197.38000000000002</v>
      </c>
    </row>
    <row r="12" spans="1:9" ht="21" customHeight="1">
      <c r="A12" s="27"/>
      <c r="B12" s="26" t="s">
        <v>23</v>
      </c>
      <c r="C12" s="26" t="s">
        <v>325</v>
      </c>
      <c r="D12" s="61">
        <v>999395654431</v>
      </c>
      <c r="E12" s="30" t="s">
        <v>24</v>
      </c>
      <c r="F12" s="8">
        <v>1502.44</v>
      </c>
      <c r="G12" s="8">
        <v>43.98</v>
      </c>
      <c r="H12" s="8">
        <v>2.55</v>
      </c>
      <c r="I12" s="9">
        <f t="shared" si="0"/>
        <v>1548.97</v>
      </c>
    </row>
    <row r="13" spans="1:9" ht="21" customHeight="1">
      <c r="A13" s="27"/>
      <c r="B13" s="26" t="s">
        <v>25</v>
      </c>
      <c r="C13" s="26" t="s">
        <v>315</v>
      </c>
      <c r="D13" s="61">
        <v>999395655454</v>
      </c>
      <c r="E13" s="30" t="s">
        <v>26</v>
      </c>
      <c r="F13" s="8">
        <v>509.03</v>
      </c>
      <c r="G13" s="8">
        <v>14.18</v>
      </c>
      <c r="H13" s="8">
        <v>2.55</v>
      </c>
      <c r="I13" s="9">
        <f t="shared" si="0"/>
        <v>525.7599999999999</v>
      </c>
    </row>
    <row r="14" spans="1:9" ht="21" customHeight="1">
      <c r="A14" s="27"/>
      <c r="B14" s="26" t="s">
        <v>27</v>
      </c>
      <c r="C14" s="26" t="s">
        <v>326</v>
      </c>
      <c r="D14" s="61">
        <v>512012286</v>
      </c>
      <c r="E14" s="30" t="s">
        <v>28</v>
      </c>
      <c r="F14" s="8">
        <v>760.53</v>
      </c>
      <c r="G14" s="8">
        <v>21.72</v>
      </c>
      <c r="H14" s="8">
        <v>2.55</v>
      </c>
      <c r="I14" s="9">
        <f t="shared" si="0"/>
        <v>784.8</v>
      </c>
    </row>
    <row r="15" spans="1:9" ht="21" customHeight="1">
      <c r="A15" s="27"/>
      <c r="B15" s="26" t="s">
        <v>29</v>
      </c>
      <c r="C15" s="26" t="s">
        <v>327</v>
      </c>
      <c r="D15" s="61">
        <v>999395659634</v>
      </c>
      <c r="E15" s="30" t="s">
        <v>30</v>
      </c>
      <c r="F15" s="8">
        <v>1175.24</v>
      </c>
      <c r="G15" s="8">
        <v>35.02</v>
      </c>
      <c r="H15" s="8">
        <v>0.55</v>
      </c>
      <c r="I15" s="9">
        <f t="shared" si="0"/>
        <v>1210.81</v>
      </c>
    </row>
    <row r="16" spans="1:9" ht="21" customHeight="1">
      <c r="A16" s="27"/>
      <c r="B16" s="26" t="s">
        <v>31</v>
      </c>
      <c r="C16" s="26" t="s">
        <v>317</v>
      </c>
      <c r="D16" s="61">
        <v>999395660462</v>
      </c>
      <c r="E16" s="30" t="s">
        <v>32</v>
      </c>
      <c r="F16" s="8">
        <v>344.7</v>
      </c>
      <c r="G16" s="8">
        <v>9.8</v>
      </c>
      <c r="H16" s="8">
        <v>1.27</v>
      </c>
      <c r="I16" s="9">
        <f t="shared" si="0"/>
        <v>355.77</v>
      </c>
    </row>
    <row r="17" spans="1:9" ht="21" customHeight="1">
      <c r="A17" s="27"/>
      <c r="B17" s="26" t="s">
        <v>33</v>
      </c>
      <c r="C17" s="26" t="s">
        <v>366</v>
      </c>
      <c r="D17" s="61">
        <v>999395662284</v>
      </c>
      <c r="E17" s="30" t="s">
        <v>34</v>
      </c>
      <c r="F17" s="8">
        <v>1292.72</v>
      </c>
      <c r="G17" s="8">
        <v>38.24</v>
      </c>
      <c r="H17" s="8">
        <v>1.27</v>
      </c>
      <c r="I17" s="9">
        <f t="shared" si="0"/>
        <v>1332.23</v>
      </c>
    </row>
    <row r="18" spans="1:9" ht="21" customHeight="1">
      <c r="A18" s="27"/>
      <c r="B18" s="26" t="s">
        <v>35</v>
      </c>
      <c r="C18" s="26" t="s">
        <v>292</v>
      </c>
      <c r="D18" s="61">
        <v>999395662947</v>
      </c>
      <c r="E18" s="30" t="s">
        <v>36</v>
      </c>
      <c r="F18" s="8">
        <v>473.21</v>
      </c>
      <c r="G18" s="8">
        <v>13.65</v>
      </c>
      <c r="H18" s="8">
        <v>1.27</v>
      </c>
      <c r="I18" s="9">
        <f t="shared" si="0"/>
        <v>488.12999999999994</v>
      </c>
    </row>
    <row r="19" spans="1:9" ht="21" customHeight="1">
      <c r="A19" s="27"/>
      <c r="B19" s="26" t="s">
        <v>37</v>
      </c>
      <c r="C19" s="26" t="s">
        <v>369</v>
      </c>
      <c r="D19" s="61">
        <v>999395663410</v>
      </c>
      <c r="E19" s="30" t="s">
        <v>38</v>
      </c>
      <c r="F19" s="8">
        <v>420.24</v>
      </c>
      <c r="G19" s="8">
        <v>12.06</v>
      </c>
      <c r="H19" s="8">
        <v>1.27</v>
      </c>
      <c r="I19" s="9">
        <f t="shared" si="0"/>
        <v>433.57</v>
      </c>
    </row>
    <row r="20" spans="1:9" ht="21" customHeight="1">
      <c r="A20" s="27"/>
      <c r="B20" s="26" t="s">
        <v>39</v>
      </c>
      <c r="C20" s="26" t="s">
        <v>293</v>
      </c>
      <c r="D20" s="61">
        <v>999395665004</v>
      </c>
      <c r="E20" s="30" t="s">
        <v>40</v>
      </c>
      <c r="F20" s="8">
        <v>495.78</v>
      </c>
      <c r="G20" s="8">
        <v>14.33</v>
      </c>
      <c r="H20" s="8">
        <v>1.27</v>
      </c>
      <c r="I20" s="9">
        <f t="shared" si="0"/>
        <v>511.37999999999994</v>
      </c>
    </row>
    <row r="21" spans="1:9" ht="21" customHeight="1">
      <c r="A21" s="27"/>
      <c r="B21" s="26" t="s">
        <v>41</v>
      </c>
      <c r="C21" s="26" t="s">
        <v>367</v>
      </c>
      <c r="D21" s="61">
        <v>999395665500</v>
      </c>
      <c r="E21" s="30" t="s">
        <v>42</v>
      </c>
      <c r="F21" s="8">
        <v>550.01</v>
      </c>
      <c r="G21" s="8">
        <v>15.97</v>
      </c>
      <c r="H21" s="8">
        <v>1.23</v>
      </c>
      <c r="I21" s="9">
        <f t="shared" si="0"/>
        <v>567.21</v>
      </c>
    </row>
    <row r="22" spans="1:9" ht="21" customHeight="1">
      <c r="A22" s="27"/>
      <c r="B22" s="26" t="s">
        <v>43</v>
      </c>
      <c r="C22" s="93"/>
      <c r="D22" s="61">
        <v>999395674678</v>
      </c>
      <c r="E22" s="30" t="s">
        <v>44</v>
      </c>
      <c r="F22" s="8">
        <v>168.23</v>
      </c>
      <c r="G22" s="8">
        <v>4.5</v>
      </c>
      <c r="H22" s="8">
        <v>1.27</v>
      </c>
      <c r="I22" s="9">
        <f t="shared" si="0"/>
        <v>174</v>
      </c>
    </row>
    <row r="23" spans="1:9" ht="21" customHeight="1">
      <c r="A23" s="27"/>
      <c r="B23" s="26" t="s">
        <v>45</v>
      </c>
      <c r="C23" s="26" t="s">
        <v>307</v>
      </c>
      <c r="D23" s="61">
        <v>999395675751</v>
      </c>
      <c r="E23" s="30" t="s">
        <v>46</v>
      </c>
      <c r="F23" s="8">
        <v>428.84</v>
      </c>
      <c r="G23" s="8">
        <v>12.32</v>
      </c>
      <c r="H23" s="8">
        <v>1.27</v>
      </c>
      <c r="I23" s="9">
        <f t="shared" si="0"/>
        <v>442.42999999999995</v>
      </c>
    </row>
    <row r="24" spans="1:9" s="19" customFormat="1" ht="21" customHeight="1">
      <c r="A24" s="27"/>
      <c r="B24" s="26" t="s">
        <v>47</v>
      </c>
      <c r="C24" s="26" t="s">
        <v>318</v>
      </c>
      <c r="D24" s="61">
        <v>999395676257</v>
      </c>
      <c r="E24" s="30" t="s">
        <v>48</v>
      </c>
      <c r="F24" s="8">
        <v>197.88</v>
      </c>
      <c r="G24" s="8">
        <v>5.39</v>
      </c>
      <c r="H24" s="8">
        <v>1.27</v>
      </c>
      <c r="I24" s="9">
        <f t="shared" si="0"/>
        <v>204.54</v>
      </c>
    </row>
    <row r="25" spans="1:9" s="19" customFormat="1" ht="21" customHeight="1">
      <c r="A25" s="27"/>
      <c r="B25" s="26" t="s">
        <v>49</v>
      </c>
      <c r="C25" s="26" t="s">
        <v>328</v>
      </c>
      <c r="D25" s="61">
        <v>999395676905</v>
      </c>
      <c r="E25" s="30" t="s">
        <v>50</v>
      </c>
      <c r="F25" s="8">
        <v>204.94</v>
      </c>
      <c r="G25" s="8">
        <v>5.56</v>
      </c>
      <c r="H25" s="8">
        <v>1.36</v>
      </c>
      <c r="I25" s="9">
        <f t="shared" si="0"/>
        <v>211.86</v>
      </c>
    </row>
    <row r="26" spans="1:9" ht="21" customHeight="1">
      <c r="A26" s="27"/>
      <c r="B26" s="26" t="s">
        <v>51</v>
      </c>
      <c r="C26" s="93"/>
      <c r="D26" s="61">
        <v>999395677339</v>
      </c>
      <c r="E26" s="30" t="s">
        <v>52</v>
      </c>
      <c r="F26" s="8">
        <v>258.08</v>
      </c>
      <c r="G26" s="8">
        <v>7.2</v>
      </c>
      <c r="H26" s="8">
        <v>1.27</v>
      </c>
      <c r="I26" s="9">
        <f t="shared" si="0"/>
        <v>266.54999999999995</v>
      </c>
    </row>
    <row r="27" spans="1:9" ht="21" customHeight="1">
      <c r="A27" s="27"/>
      <c r="B27" s="26" t="s">
        <v>53</v>
      </c>
      <c r="C27" s="93"/>
      <c r="D27" s="61">
        <v>999395680029</v>
      </c>
      <c r="E27" s="30" t="s">
        <v>54</v>
      </c>
      <c r="F27" s="8">
        <v>220.85</v>
      </c>
      <c r="G27" s="8">
        <v>6.08</v>
      </c>
      <c r="H27" s="8">
        <v>1.27</v>
      </c>
      <c r="I27" s="9">
        <f t="shared" si="0"/>
        <v>228.20000000000002</v>
      </c>
    </row>
    <row r="28" spans="1:9" ht="21" customHeight="1">
      <c r="A28" s="27"/>
      <c r="B28" s="26" t="s">
        <v>55</v>
      </c>
      <c r="C28" s="26" t="s">
        <v>294</v>
      </c>
      <c r="D28" s="61">
        <v>999395682858</v>
      </c>
      <c r="E28" s="30" t="s">
        <v>56</v>
      </c>
      <c r="F28" s="8">
        <v>394.26</v>
      </c>
      <c r="G28" s="8">
        <v>11.24</v>
      </c>
      <c r="H28" s="8">
        <v>1.36</v>
      </c>
      <c r="I28" s="9">
        <f t="shared" si="0"/>
        <v>406.86</v>
      </c>
    </row>
    <row r="29" spans="1:9" ht="21" customHeight="1">
      <c r="A29" s="27"/>
      <c r="B29" s="26" t="s">
        <v>57</v>
      </c>
      <c r="C29" s="26" t="s">
        <v>295</v>
      </c>
      <c r="D29" s="12">
        <v>512095448</v>
      </c>
      <c r="E29" s="30" t="s">
        <v>58</v>
      </c>
      <c r="F29" s="8">
        <v>669.58</v>
      </c>
      <c r="G29" s="8">
        <v>19.5</v>
      </c>
      <c r="H29" s="8">
        <v>1.36</v>
      </c>
      <c r="I29" s="9">
        <f t="shared" si="0"/>
        <v>690.44</v>
      </c>
    </row>
    <row r="30" spans="1:9" ht="21" customHeight="1">
      <c r="A30" s="27"/>
      <c r="B30" s="26" t="s">
        <v>59</v>
      </c>
      <c r="C30" s="26" t="s">
        <v>296</v>
      </c>
      <c r="D30" s="61">
        <v>999395695033</v>
      </c>
      <c r="E30" s="30" t="s">
        <v>60</v>
      </c>
      <c r="F30" s="8">
        <v>431.945</v>
      </c>
      <c r="G30" s="8">
        <v>12.835</v>
      </c>
      <c r="H30" s="8">
        <v>0.285</v>
      </c>
      <c r="I30" s="9">
        <f t="shared" si="0"/>
        <v>445.065</v>
      </c>
    </row>
    <row r="31" spans="1:9" ht="21" customHeight="1">
      <c r="A31" s="27"/>
      <c r="B31" s="26" t="s">
        <v>61</v>
      </c>
      <c r="C31" s="26" t="s">
        <v>296</v>
      </c>
      <c r="D31" s="61">
        <v>999395696742</v>
      </c>
      <c r="E31" s="30" t="s">
        <v>62</v>
      </c>
      <c r="F31" s="8">
        <v>678.19</v>
      </c>
      <c r="G31" s="8">
        <v>20.225</v>
      </c>
      <c r="H31" s="8">
        <v>0.285</v>
      </c>
      <c r="I31" s="9">
        <f t="shared" si="0"/>
        <v>698.7</v>
      </c>
    </row>
    <row r="32" spans="1:9" ht="21" customHeight="1">
      <c r="A32" s="27"/>
      <c r="B32" s="26" t="s">
        <v>63</v>
      </c>
      <c r="C32" s="26" t="s">
        <v>308</v>
      </c>
      <c r="D32" s="61">
        <v>999395697615</v>
      </c>
      <c r="E32" s="30" t="s">
        <v>64</v>
      </c>
      <c r="F32" s="8">
        <f>856.88/2</f>
        <v>428.44</v>
      </c>
      <c r="G32" s="8">
        <f>25.38/2</f>
        <v>12.69</v>
      </c>
      <c r="H32" s="8">
        <f>0.76/2</f>
        <v>0.38</v>
      </c>
      <c r="I32" s="9">
        <f t="shared" si="0"/>
        <v>441.51</v>
      </c>
    </row>
    <row r="33" spans="1:9" ht="21" customHeight="1">
      <c r="A33" s="27"/>
      <c r="B33" s="26" t="s">
        <v>65</v>
      </c>
      <c r="C33" s="26" t="s">
        <v>297</v>
      </c>
      <c r="D33" s="61">
        <v>999395698321</v>
      </c>
      <c r="E33" s="30" t="s">
        <v>66</v>
      </c>
      <c r="F33" s="8">
        <f>779.48/2</f>
        <v>389.74</v>
      </c>
      <c r="G33" s="8">
        <f>23.06/2</f>
        <v>11.53</v>
      </c>
      <c r="H33" s="8">
        <f>0.75/2</f>
        <v>0.375</v>
      </c>
      <c r="I33" s="9">
        <f t="shared" si="0"/>
        <v>401.645</v>
      </c>
    </row>
    <row r="34" spans="1:9" ht="21" customHeight="1">
      <c r="A34" s="27"/>
      <c r="B34" s="26" t="s">
        <v>67</v>
      </c>
      <c r="C34" s="26" t="s">
        <v>309</v>
      </c>
      <c r="D34" s="62">
        <v>999395698661</v>
      </c>
      <c r="E34" s="31" t="s">
        <v>68</v>
      </c>
      <c r="F34" s="18">
        <f>423.21/2</f>
        <v>211.605</v>
      </c>
      <c r="G34" s="18">
        <f>12.35/2</f>
        <v>6.175</v>
      </c>
      <c r="H34" s="18">
        <f>0.8/2</f>
        <v>0.4</v>
      </c>
      <c r="I34" s="9">
        <f t="shared" si="0"/>
        <v>218.18</v>
      </c>
    </row>
    <row r="35" spans="1:9" ht="21" customHeight="1">
      <c r="A35" s="27"/>
      <c r="B35" s="26" t="s">
        <v>69</v>
      </c>
      <c r="C35" s="26"/>
      <c r="D35" s="61">
        <v>999395699042</v>
      </c>
      <c r="E35" s="30" t="s">
        <v>70</v>
      </c>
      <c r="F35" s="8">
        <f>1078.82/2</f>
        <v>539.41</v>
      </c>
      <c r="G35" s="8">
        <f>32.02/2</f>
        <v>16.01</v>
      </c>
      <c r="H35" s="8">
        <f>0.8/2</f>
        <v>0.4</v>
      </c>
      <c r="I35" s="9">
        <f t="shared" si="0"/>
        <v>555.8199999999999</v>
      </c>
    </row>
    <row r="36" spans="1:15" s="20" customFormat="1" ht="21" customHeight="1">
      <c r="A36" s="27"/>
      <c r="B36" s="26" t="s">
        <v>71</v>
      </c>
      <c r="C36" s="93"/>
      <c r="D36" s="61">
        <v>999395699192</v>
      </c>
      <c r="E36" s="30" t="s">
        <v>72</v>
      </c>
      <c r="F36" s="18">
        <f>344.94/2</f>
        <v>172.47</v>
      </c>
      <c r="G36" s="18">
        <f>10.05/2</f>
        <v>5.025</v>
      </c>
      <c r="H36" s="18">
        <f>0.69/2</f>
        <v>0.345</v>
      </c>
      <c r="I36" s="87">
        <f t="shared" si="0"/>
        <v>177.84</v>
      </c>
      <c r="J36" s="19"/>
      <c r="K36" s="19"/>
      <c r="L36" s="19"/>
      <c r="M36" s="19"/>
      <c r="N36" s="19"/>
      <c r="O36" s="19"/>
    </row>
    <row r="37" spans="1:15" ht="21" customHeight="1">
      <c r="A37" s="27"/>
      <c r="B37" s="26" t="s">
        <v>73</v>
      </c>
      <c r="C37" s="93"/>
      <c r="D37" s="61">
        <v>999395699382</v>
      </c>
      <c r="E37" s="30" t="s">
        <v>74</v>
      </c>
      <c r="F37" s="8">
        <f>434.53/2</f>
        <v>217.265</v>
      </c>
      <c r="G37" s="8">
        <f>12.68/2</f>
        <v>6.34</v>
      </c>
      <c r="H37" s="8">
        <f>0.84/2</f>
        <v>0.42</v>
      </c>
      <c r="I37" s="9">
        <f t="shared" si="0"/>
        <v>224.02499999999998</v>
      </c>
      <c r="J37" s="19"/>
      <c r="K37" s="19"/>
      <c r="L37" s="19"/>
      <c r="M37" s="19"/>
      <c r="N37" s="19"/>
      <c r="O37" s="19"/>
    </row>
    <row r="38" spans="1:15" ht="21" customHeight="1">
      <c r="A38" s="27"/>
      <c r="B38" s="26" t="s">
        <v>75</v>
      </c>
      <c r="C38" s="26" t="s">
        <v>298</v>
      </c>
      <c r="D38" s="61">
        <v>999395699631</v>
      </c>
      <c r="E38" s="30" t="s">
        <v>76</v>
      </c>
      <c r="F38" s="8">
        <f>144.98/2</f>
        <v>72.49</v>
      </c>
      <c r="G38" s="8">
        <f>4.04/2</f>
        <v>2.02</v>
      </c>
      <c r="H38" s="8">
        <f>0.73/2</f>
        <v>0.365</v>
      </c>
      <c r="I38" s="9">
        <f t="shared" si="0"/>
        <v>74.87499999999999</v>
      </c>
      <c r="J38" s="19"/>
      <c r="K38" s="19"/>
      <c r="L38" s="19"/>
      <c r="M38" s="19"/>
      <c r="N38" s="19"/>
      <c r="O38" s="19"/>
    </row>
    <row r="39" spans="1:15" ht="21" customHeight="1">
      <c r="A39" s="27"/>
      <c r="B39" s="26" t="s">
        <v>77</v>
      </c>
      <c r="C39" s="93"/>
      <c r="D39" s="61">
        <v>999395699855</v>
      </c>
      <c r="E39" s="30" t="s">
        <v>78</v>
      </c>
      <c r="F39" s="8">
        <f>388.89/2</f>
        <v>194.445</v>
      </c>
      <c r="G39" s="8">
        <f>11.33/2</f>
        <v>5.665</v>
      </c>
      <c r="H39" s="8">
        <f>0.79/2</f>
        <v>0.395</v>
      </c>
      <c r="I39" s="9">
        <f t="shared" si="0"/>
        <v>200.505</v>
      </c>
      <c r="J39" s="19"/>
      <c r="K39" s="19"/>
      <c r="L39" s="19"/>
      <c r="M39" s="19"/>
      <c r="N39" s="19"/>
      <c r="O39" s="19"/>
    </row>
    <row r="40" spans="1:15" ht="21" customHeight="1">
      <c r="A40" s="27"/>
      <c r="B40" s="26" t="s">
        <v>79</v>
      </c>
      <c r="C40" s="26" t="s">
        <v>299</v>
      </c>
      <c r="D40" s="61">
        <v>999395699914</v>
      </c>
      <c r="E40" s="30" t="s">
        <v>80</v>
      </c>
      <c r="F40" s="8">
        <f>591.15/2</f>
        <v>295.575</v>
      </c>
      <c r="G40" s="8">
        <f>17.38/2</f>
        <v>8.69</v>
      </c>
      <c r="H40" s="8">
        <f>0.84/2</f>
        <v>0.42</v>
      </c>
      <c r="I40" s="9">
        <f t="shared" si="0"/>
        <v>304.685</v>
      </c>
      <c r="J40" s="19"/>
      <c r="K40" s="19"/>
      <c r="L40" s="19"/>
      <c r="M40" s="19"/>
      <c r="N40" s="19"/>
      <c r="O40" s="19"/>
    </row>
    <row r="41" spans="1:15" ht="21" customHeight="1">
      <c r="A41" s="27"/>
      <c r="B41" s="26" t="s">
        <v>81</v>
      </c>
      <c r="C41" s="26" t="s">
        <v>329</v>
      </c>
      <c r="D41" s="61">
        <v>999395720675</v>
      </c>
      <c r="E41" s="30" t="s">
        <v>82</v>
      </c>
      <c r="F41" s="8">
        <f>1177.49/2</f>
        <v>588.745</v>
      </c>
      <c r="G41" s="8">
        <f>34.98/2</f>
        <v>17.49</v>
      </c>
      <c r="H41" s="8">
        <f>0.8/2</f>
        <v>0.4</v>
      </c>
      <c r="I41" s="9">
        <f t="shared" si="0"/>
        <v>606.635</v>
      </c>
      <c r="J41" s="19"/>
      <c r="K41" s="19"/>
      <c r="L41" s="19"/>
      <c r="M41" s="19"/>
      <c r="N41" s="19"/>
      <c r="O41" s="19"/>
    </row>
    <row r="42" spans="1:15" ht="21" customHeight="1">
      <c r="A42" s="27"/>
      <c r="B42" s="26" t="s">
        <v>83</v>
      </c>
      <c r="C42" s="26" t="s">
        <v>300</v>
      </c>
      <c r="D42" s="61">
        <v>999395721493</v>
      </c>
      <c r="E42" s="30" t="s">
        <v>84</v>
      </c>
      <c r="F42" s="8">
        <f>842.44/2</f>
        <v>421.22</v>
      </c>
      <c r="G42" s="8">
        <f>24.94/2</f>
        <v>12.47</v>
      </c>
      <c r="H42" s="8">
        <f>0.78/2</f>
        <v>0.39</v>
      </c>
      <c r="I42" s="9">
        <f t="shared" si="0"/>
        <v>434.08000000000004</v>
      </c>
      <c r="J42" s="19"/>
      <c r="K42" s="19"/>
      <c r="L42" s="19"/>
      <c r="M42" s="19"/>
      <c r="N42" s="19"/>
      <c r="O42" s="19"/>
    </row>
    <row r="43" spans="1:15" ht="21" customHeight="1">
      <c r="A43" s="27"/>
      <c r="B43" s="26" t="s">
        <v>85</v>
      </c>
      <c r="C43" s="26"/>
      <c r="D43" s="61">
        <v>999395728957</v>
      </c>
      <c r="E43" s="30" t="s">
        <v>86</v>
      </c>
      <c r="F43" s="8">
        <f>168.06/2</f>
        <v>84.03</v>
      </c>
      <c r="G43" s="8">
        <f>4.71/2</f>
        <v>2.355</v>
      </c>
      <c r="H43" s="8">
        <f>0.77/2</f>
        <v>0.385</v>
      </c>
      <c r="I43" s="9">
        <f t="shared" si="0"/>
        <v>86.77000000000001</v>
      </c>
      <c r="J43" s="19"/>
      <c r="K43" s="19"/>
      <c r="L43" s="19"/>
      <c r="M43" s="19"/>
      <c r="N43" s="19"/>
      <c r="O43" s="19"/>
    </row>
    <row r="44" spans="1:15" ht="21" customHeight="1">
      <c r="A44" s="27"/>
      <c r="B44" s="26" t="s">
        <v>87</v>
      </c>
      <c r="C44" s="26" t="s">
        <v>330</v>
      </c>
      <c r="D44" s="61">
        <v>999395729357</v>
      </c>
      <c r="E44" s="30" t="s">
        <v>88</v>
      </c>
      <c r="F44" s="8">
        <f>291.32/2</f>
        <v>145.66</v>
      </c>
      <c r="G44" s="8">
        <f>8.43/2</f>
        <v>4.215</v>
      </c>
      <c r="H44" s="8">
        <f>0.73/2</f>
        <v>0.365</v>
      </c>
      <c r="I44" s="9">
        <f t="shared" si="0"/>
        <v>150.24</v>
      </c>
      <c r="J44" s="19"/>
      <c r="K44" s="19"/>
      <c r="L44" s="19"/>
      <c r="M44" s="19"/>
      <c r="N44" s="19"/>
      <c r="O44" s="19"/>
    </row>
    <row r="45" spans="1:15" ht="21" customHeight="1">
      <c r="A45" s="27"/>
      <c r="B45" s="26" t="s">
        <v>89</v>
      </c>
      <c r="C45" s="93"/>
      <c r="D45" s="61">
        <v>999395729815</v>
      </c>
      <c r="E45" s="30" t="s">
        <v>90</v>
      </c>
      <c r="F45" s="8">
        <f>230.03/2</f>
        <v>115.015</v>
      </c>
      <c r="G45" s="8">
        <f>6.58/2</f>
        <v>3.29</v>
      </c>
      <c r="H45" s="8">
        <f>0.75/2</f>
        <v>0.375</v>
      </c>
      <c r="I45" s="9">
        <f t="shared" si="0"/>
        <v>118.68</v>
      </c>
      <c r="J45" s="19"/>
      <c r="K45" s="19"/>
      <c r="L45" s="19"/>
      <c r="M45" s="19"/>
      <c r="N45" s="19"/>
      <c r="O45" s="19"/>
    </row>
    <row r="46" spans="1:15" ht="21" customHeight="1">
      <c r="A46" s="27"/>
      <c r="B46" s="26" t="s">
        <v>94</v>
      </c>
      <c r="C46" s="26" t="s">
        <v>331</v>
      </c>
      <c r="D46" s="61">
        <v>999395730546</v>
      </c>
      <c r="E46" s="30" t="s">
        <v>91</v>
      </c>
      <c r="F46" s="8">
        <f>100.25/2</f>
        <v>50.125</v>
      </c>
      <c r="G46" s="8">
        <f>2.67/2</f>
        <v>1.335</v>
      </c>
      <c r="H46" s="8">
        <f>0.79/2</f>
        <v>0.395</v>
      </c>
      <c r="I46" s="9">
        <f t="shared" si="0"/>
        <v>51.855000000000004</v>
      </c>
      <c r="J46" s="19"/>
      <c r="K46" s="19"/>
      <c r="L46" s="19"/>
      <c r="M46" s="19"/>
      <c r="N46" s="19"/>
      <c r="O46" s="19"/>
    </row>
    <row r="47" spans="1:15" ht="21" customHeight="1">
      <c r="A47" s="27"/>
      <c r="B47" s="26" t="s">
        <v>92</v>
      </c>
      <c r="C47" s="26" t="s">
        <v>319</v>
      </c>
      <c r="D47" s="61">
        <v>999395731005</v>
      </c>
      <c r="E47" s="32" t="s">
        <v>93</v>
      </c>
      <c r="F47" s="8">
        <f>298.83/2</f>
        <v>149.415</v>
      </c>
      <c r="G47" s="8">
        <f>8.63/2</f>
        <v>4.315</v>
      </c>
      <c r="H47" s="8">
        <f>0.77/2</f>
        <v>0.385</v>
      </c>
      <c r="I47" s="9">
        <f t="shared" si="0"/>
        <v>154.11499999999998</v>
      </c>
      <c r="J47" s="19"/>
      <c r="K47" s="19"/>
      <c r="L47" s="19"/>
      <c r="M47" s="19"/>
      <c r="N47" s="19"/>
      <c r="O47" s="19"/>
    </row>
    <row r="48" spans="1:15" ht="21" customHeight="1">
      <c r="A48" s="27"/>
      <c r="B48" s="26" t="s">
        <v>95</v>
      </c>
      <c r="C48" s="93"/>
      <c r="D48" s="61">
        <v>999395731797</v>
      </c>
      <c r="E48" s="30" t="s">
        <v>96</v>
      </c>
      <c r="F48" s="8">
        <f>227.41/2</f>
        <v>113.705</v>
      </c>
      <c r="G48" s="8">
        <f>6.5/2</f>
        <v>3.25</v>
      </c>
      <c r="H48" s="8">
        <f>0.76/2</f>
        <v>0.38</v>
      </c>
      <c r="I48" s="9">
        <f t="shared" si="0"/>
        <v>117.335</v>
      </c>
      <c r="J48" s="19"/>
      <c r="K48" s="19"/>
      <c r="L48" s="19"/>
      <c r="M48" s="19"/>
      <c r="N48" s="19"/>
      <c r="O48" s="19"/>
    </row>
    <row r="49" spans="1:15" ht="21" customHeight="1">
      <c r="A49" s="27"/>
      <c r="B49" s="26" t="s">
        <v>97</v>
      </c>
      <c r="C49" s="26"/>
      <c r="D49" s="61">
        <v>999395850272</v>
      </c>
      <c r="E49" s="30" t="s">
        <v>98</v>
      </c>
      <c r="F49" s="8">
        <v>933.14</v>
      </c>
      <c r="G49" s="8">
        <v>27.45</v>
      </c>
      <c r="H49" s="8">
        <v>1.27</v>
      </c>
      <c r="I49" s="9">
        <f t="shared" si="0"/>
        <v>961.86</v>
      </c>
      <c r="J49" s="19"/>
      <c r="K49" s="19"/>
      <c r="L49" s="19"/>
      <c r="M49" s="19"/>
      <c r="N49" s="19"/>
      <c r="O49" s="19"/>
    </row>
    <row r="50" spans="1:15" ht="21" customHeight="1">
      <c r="A50" s="27"/>
      <c r="B50" s="26" t="s">
        <v>99</v>
      </c>
      <c r="C50" s="93"/>
      <c r="D50" s="61">
        <v>999395869847</v>
      </c>
      <c r="E50" s="30" t="s">
        <v>100</v>
      </c>
      <c r="F50" s="8">
        <v>446.87</v>
      </c>
      <c r="G50" s="8">
        <v>13.17</v>
      </c>
      <c r="H50" s="8">
        <v>0.55</v>
      </c>
      <c r="I50" s="9">
        <f t="shared" si="0"/>
        <v>460.59000000000003</v>
      </c>
      <c r="J50" s="19"/>
      <c r="K50" s="19"/>
      <c r="L50" s="19"/>
      <c r="M50" s="19"/>
      <c r="N50" s="19"/>
      <c r="O50" s="19"/>
    </row>
    <row r="51" spans="1:15" ht="21" customHeight="1">
      <c r="A51" s="27"/>
      <c r="B51" s="26" t="s">
        <v>101</v>
      </c>
      <c r="C51" s="26" t="s">
        <v>371</v>
      </c>
      <c r="D51" s="12">
        <v>83007836944</v>
      </c>
      <c r="E51" s="30" t="s">
        <v>102</v>
      </c>
      <c r="F51" s="8">
        <f>252.54/2</f>
        <v>126.27</v>
      </c>
      <c r="G51" s="8">
        <f>7.26/2</f>
        <v>3.63</v>
      </c>
      <c r="H51" s="8">
        <f>0.75/2</f>
        <v>0.375</v>
      </c>
      <c r="I51" s="9">
        <f t="shared" si="0"/>
        <v>130.275</v>
      </c>
      <c r="J51" s="19"/>
      <c r="K51" s="19"/>
      <c r="L51" s="19"/>
      <c r="M51" s="19"/>
      <c r="N51" s="19"/>
      <c r="O51" s="19"/>
    </row>
    <row r="52" spans="1:15" ht="21" customHeight="1">
      <c r="A52" s="27"/>
      <c r="B52" s="26" t="s">
        <v>103</v>
      </c>
      <c r="C52" s="26" t="s">
        <v>286</v>
      </c>
      <c r="D52" s="61">
        <v>999418107083</v>
      </c>
      <c r="E52" s="30" t="s">
        <v>104</v>
      </c>
      <c r="F52" s="8">
        <f>2868.59/2</f>
        <v>1434.295</v>
      </c>
      <c r="G52" s="8">
        <f>85.72/2</f>
        <v>42.86</v>
      </c>
      <c r="H52" s="8">
        <f>0.79/2</f>
        <v>0.395</v>
      </c>
      <c r="I52" s="9">
        <f t="shared" si="0"/>
        <v>1477.55</v>
      </c>
      <c r="J52" s="19"/>
      <c r="K52" s="19"/>
      <c r="L52" s="19"/>
      <c r="M52" s="19"/>
      <c r="N52" s="19"/>
      <c r="O52" s="19"/>
    </row>
    <row r="53" spans="1:15" ht="21" customHeight="1">
      <c r="A53" s="27"/>
      <c r="B53" s="26" t="s">
        <v>105</v>
      </c>
      <c r="C53" s="26" t="s">
        <v>332</v>
      </c>
      <c r="D53" s="61">
        <v>999418108530</v>
      </c>
      <c r="E53" s="30" t="s">
        <v>106</v>
      </c>
      <c r="F53" s="8">
        <v>295.85</v>
      </c>
      <c r="G53" s="8">
        <v>8.33</v>
      </c>
      <c r="H53" s="8">
        <v>1.27</v>
      </c>
      <c r="I53" s="9">
        <f t="shared" si="0"/>
        <v>305.45</v>
      </c>
      <c r="J53" s="19"/>
      <c r="K53" s="19"/>
      <c r="L53" s="19"/>
      <c r="M53" s="19"/>
      <c r="N53" s="19"/>
      <c r="O53" s="19"/>
    </row>
    <row r="54" spans="1:15" ht="21" customHeight="1">
      <c r="A54" s="27"/>
      <c r="B54" s="26" t="s">
        <v>107</v>
      </c>
      <c r="C54" s="26" t="s">
        <v>302</v>
      </c>
      <c r="D54" s="61">
        <v>999444028261</v>
      </c>
      <c r="E54" s="30" t="s">
        <v>108</v>
      </c>
      <c r="F54" s="8">
        <v>113.96</v>
      </c>
      <c r="G54" s="8">
        <v>2.87</v>
      </c>
      <c r="H54" s="8">
        <v>1.27</v>
      </c>
      <c r="I54" s="9">
        <f t="shared" si="0"/>
        <v>118.1</v>
      </c>
      <c r="J54" s="19"/>
      <c r="K54" s="19"/>
      <c r="L54" s="19"/>
      <c r="M54" s="19"/>
      <c r="N54" s="19"/>
      <c r="O54" s="19"/>
    </row>
    <row r="55" spans="1:15" ht="21" customHeight="1">
      <c r="A55" s="27"/>
      <c r="B55" s="26" t="s">
        <v>109</v>
      </c>
      <c r="C55" s="26" t="s">
        <v>313</v>
      </c>
      <c r="D55" s="12">
        <v>83000769293</v>
      </c>
      <c r="E55" s="30" t="s">
        <v>110</v>
      </c>
      <c r="F55" s="8">
        <v>283.87</v>
      </c>
      <c r="G55" s="8">
        <v>7.97</v>
      </c>
      <c r="H55" s="8">
        <v>1.27</v>
      </c>
      <c r="I55" s="9">
        <f t="shared" si="0"/>
        <v>293.11</v>
      </c>
      <c r="J55" s="19"/>
      <c r="K55" s="19"/>
      <c r="L55" s="19"/>
      <c r="M55" s="19"/>
      <c r="N55" s="19"/>
      <c r="O55" s="19"/>
    </row>
    <row r="56" spans="1:9" s="19" customFormat="1" ht="21" customHeight="1">
      <c r="A56" s="27"/>
      <c r="B56" s="35" t="s">
        <v>125</v>
      </c>
      <c r="C56" s="94"/>
      <c r="D56" s="36">
        <v>60006203645</v>
      </c>
      <c r="E56" s="37" t="s">
        <v>126</v>
      </c>
      <c r="F56" s="8">
        <v>25.79</v>
      </c>
      <c r="G56" s="8">
        <v>0.75</v>
      </c>
      <c r="H56" s="8">
        <v>0.06</v>
      </c>
      <c r="I56" s="9">
        <f t="shared" si="0"/>
        <v>26.599999999999998</v>
      </c>
    </row>
    <row r="57" spans="1:15" s="29" customFormat="1" ht="21" customHeight="1">
      <c r="A57" s="27"/>
      <c r="B57" s="26" t="s">
        <v>127</v>
      </c>
      <c r="C57" s="93"/>
      <c r="D57" s="12">
        <v>60007966411</v>
      </c>
      <c r="E57" s="30" t="s">
        <v>128</v>
      </c>
      <c r="F57" s="8">
        <v>64.92</v>
      </c>
      <c r="G57" s="8">
        <v>1.92</v>
      </c>
      <c r="H57" s="8">
        <v>0.06</v>
      </c>
      <c r="I57" s="9">
        <f t="shared" si="0"/>
        <v>66.9</v>
      </c>
      <c r="J57" s="19"/>
      <c r="K57" s="19"/>
      <c r="L57" s="19"/>
      <c r="M57" s="19"/>
      <c r="N57" s="19"/>
      <c r="O57" s="19"/>
    </row>
    <row r="58" spans="1:15" s="29" customFormat="1" ht="21" customHeight="1">
      <c r="A58" s="27"/>
      <c r="B58" s="26" t="s">
        <v>129</v>
      </c>
      <c r="C58" s="26" t="s">
        <v>289</v>
      </c>
      <c r="D58" s="12">
        <v>60006643135</v>
      </c>
      <c r="E58" s="30" t="s">
        <v>130</v>
      </c>
      <c r="F58" s="8">
        <f>87.39/2</f>
        <v>43.695</v>
      </c>
      <c r="G58" s="8">
        <f>2.63/2</f>
        <v>1.315</v>
      </c>
      <c r="H58" s="89">
        <f>-0.01/2</f>
        <v>-0.005</v>
      </c>
      <c r="I58" s="9">
        <f t="shared" si="0"/>
        <v>45.004999999999995</v>
      </c>
      <c r="J58" s="19"/>
      <c r="K58" s="19"/>
      <c r="L58" s="19"/>
      <c r="M58" s="19"/>
      <c r="N58" s="19"/>
      <c r="O58" s="19"/>
    </row>
    <row r="59" spans="1:15" ht="21" customHeight="1">
      <c r="A59" s="27"/>
      <c r="B59" s="26" t="s">
        <v>131</v>
      </c>
      <c r="C59" s="93"/>
      <c r="D59" s="12">
        <v>60007843244</v>
      </c>
      <c r="E59" s="30" t="s">
        <v>132</v>
      </c>
      <c r="F59" s="8">
        <f>82.24/2</f>
        <v>41.12</v>
      </c>
      <c r="G59" s="8">
        <f>2.44/2</f>
        <v>1.22</v>
      </c>
      <c r="H59" s="8">
        <f>0.07/2</f>
        <v>0.035</v>
      </c>
      <c r="I59" s="9">
        <f aca="true" t="shared" si="1" ref="I59:I119">SUM(F59:H59)</f>
        <v>42.37499999999999</v>
      </c>
      <c r="J59" s="19"/>
      <c r="K59" s="19"/>
      <c r="L59" s="19"/>
      <c r="M59" s="19"/>
      <c r="N59" s="19"/>
      <c r="O59" s="19"/>
    </row>
    <row r="60" spans="1:15" ht="21" customHeight="1">
      <c r="A60" s="27"/>
      <c r="B60" s="26" t="s">
        <v>133</v>
      </c>
      <c r="C60" s="26" t="s">
        <v>322</v>
      </c>
      <c r="D60" s="12">
        <v>60007843069</v>
      </c>
      <c r="E60" s="30" t="s">
        <v>134</v>
      </c>
      <c r="F60" s="8">
        <f>127.44/2</f>
        <v>63.72</v>
      </c>
      <c r="G60" s="8">
        <f>3.73/2</f>
        <v>1.865</v>
      </c>
      <c r="H60" s="8">
        <f>0.21/2</f>
        <v>0.105</v>
      </c>
      <c r="I60" s="9">
        <f t="shared" si="1"/>
        <v>65.69</v>
      </c>
      <c r="J60" s="19"/>
      <c r="K60" s="19"/>
      <c r="L60" s="19"/>
      <c r="M60" s="19"/>
      <c r="N60" s="19"/>
      <c r="O60" s="19"/>
    </row>
    <row r="61" spans="1:15" ht="21" customHeight="1">
      <c r="A61" s="27"/>
      <c r="B61" s="26" t="s">
        <v>135</v>
      </c>
      <c r="C61" s="26" t="s">
        <v>353</v>
      </c>
      <c r="D61" s="12">
        <v>60007843073</v>
      </c>
      <c r="E61" s="30" t="s">
        <v>136</v>
      </c>
      <c r="F61" s="8">
        <f>110.86/2</f>
        <v>55.43</v>
      </c>
      <c r="G61" s="8">
        <f>3.29/2</f>
        <v>1.645</v>
      </c>
      <c r="H61" s="8">
        <f>0.08/2</f>
        <v>0.04</v>
      </c>
      <c r="I61" s="9">
        <f t="shared" si="1"/>
        <v>57.115</v>
      </c>
      <c r="J61" s="19"/>
      <c r="K61" s="19"/>
      <c r="L61" s="19"/>
      <c r="M61" s="19"/>
      <c r="N61" s="19"/>
      <c r="O61" s="19"/>
    </row>
    <row r="62" spans="1:15" ht="21" customHeight="1">
      <c r="A62" s="27"/>
      <c r="B62" s="26" t="s">
        <v>137</v>
      </c>
      <c r="C62" s="93"/>
      <c r="D62" s="12">
        <v>60007843356</v>
      </c>
      <c r="E62" s="30" t="s">
        <v>138</v>
      </c>
      <c r="F62" s="8">
        <f>29.25/2</f>
        <v>14.625</v>
      </c>
      <c r="G62" s="8">
        <f>0.85/2</f>
        <v>0.425</v>
      </c>
      <c r="H62" s="8">
        <f>0.07/2</f>
        <v>0.035</v>
      </c>
      <c r="I62" s="9">
        <f t="shared" si="1"/>
        <v>15.085</v>
      </c>
      <c r="J62" s="19"/>
      <c r="K62" s="19"/>
      <c r="L62" s="19"/>
      <c r="M62" s="19"/>
      <c r="N62" s="19"/>
      <c r="O62" s="19"/>
    </row>
    <row r="63" spans="1:15" ht="21" customHeight="1">
      <c r="A63" s="27"/>
      <c r="B63" s="26" t="s">
        <v>139</v>
      </c>
      <c r="C63" s="93"/>
      <c r="D63" s="12">
        <v>60007847274</v>
      </c>
      <c r="E63" s="30" t="s">
        <v>140</v>
      </c>
      <c r="F63" s="8">
        <f>56.74/2</f>
        <v>28.37</v>
      </c>
      <c r="G63" s="8">
        <f>1.61/2</f>
        <v>0.805</v>
      </c>
      <c r="H63" s="8">
        <f>0.21/2</f>
        <v>0.105</v>
      </c>
      <c r="I63" s="9">
        <f t="shared" si="1"/>
        <v>29.28</v>
      </c>
      <c r="J63" s="19"/>
      <c r="K63" s="19"/>
      <c r="L63" s="19"/>
      <c r="M63" s="19"/>
      <c r="N63" s="19"/>
      <c r="O63" s="19"/>
    </row>
    <row r="64" spans="1:15" ht="21" customHeight="1">
      <c r="A64" s="27"/>
      <c r="B64" s="26" t="s">
        <v>141</v>
      </c>
      <c r="C64" s="93"/>
      <c r="D64" s="12">
        <v>60007847482</v>
      </c>
      <c r="E64" s="30" t="s">
        <v>142</v>
      </c>
      <c r="F64" s="8">
        <v>68.21</v>
      </c>
      <c r="G64" s="8">
        <v>2.02</v>
      </c>
      <c r="H64" s="8">
        <v>0.05</v>
      </c>
      <c r="I64" s="9">
        <f t="shared" si="1"/>
        <v>70.27999999999999</v>
      </c>
      <c r="J64" s="19"/>
      <c r="K64" s="19"/>
      <c r="L64" s="19"/>
      <c r="M64" s="19"/>
      <c r="N64" s="19"/>
      <c r="O64" s="19"/>
    </row>
    <row r="65" spans="1:15" ht="21" customHeight="1">
      <c r="A65" s="27"/>
      <c r="B65" s="26" t="s">
        <v>143</v>
      </c>
      <c r="C65" s="26" t="s">
        <v>323</v>
      </c>
      <c r="D65" s="12">
        <v>60007858040</v>
      </c>
      <c r="E65" s="78" t="s">
        <v>144</v>
      </c>
      <c r="F65" s="8">
        <v>33.03</v>
      </c>
      <c r="G65" s="8">
        <v>0.95</v>
      </c>
      <c r="H65" s="8">
        <v>0.09</v>
      </c>
      <c r="I65" s="9">
        <f t="shared" si="1"/>
        <v>34.07000000000001</v>
      </c>
      <c r="J65" s="19"/>
      <c r="K65" s="19"/>
      <c r="L65" s="19"/>
      <c r="M65" s="19"/>
      <c r="N65" s="19"/>
      <c r="O65" s="19"/>
    </row>
    <row r="66" spans="1:15" ht="21" customHeight="1">
      <c r="A66" s="27"/>
      <c r="B66" s="43" t="s">
        <v>145</v>
      </c>
      <c r="C66" s="43" t="s">
        <v>358</v>
      </c>
      <c r="D66" s="44">
        <v>60007889355</v>
      </c>
      <c r="E66" s="37" t="s">
        <v>146</v>
      </c>
      <c r="F66" s="18">
        <f>55.48/2</f>
        <v>27.74</v>
      </c>
      <c r="G66" s="18">
        <f>1.63/2</f>
        <v>0.815</v>
      </c>
      <c r="H66" s="18">
        <f>0.07/2</f>
        <v>0.035</v>
      </c>
      <c r="I66" s="9">
        <f t="shared" si="1"/>
        <v>28.59</v>
      </c>
      <c r="J66" s="19"/>
      <c r="K66" s="19"/>
      <c r="L66" s="19"/>
      <c r="M66" s="19"/>
      <c r="N66" s="19"/>
      <c r="O66" s="19"/>
    </row>
    <row r="67" spans="1:15" ht="21" customHeight="1">
      <c r="A67" s="39"/>
      <c r="B67" s="41" t="s">
        <v>147</v>
      </c>
      <c r="C67" s="41" t="s">
        <v>311</v>
      </c>
      <c r="D67" s="40">
        <v>60007899611</v>
      </c>
      <c r="E67" s="42" t="s">
        <v>148</v>
      </c>
      <c r="F67" s="18">
        <v>96.66</v>
      </c>
      <c r="G67" s="18">
        <v>2.86</v>
      </c>
      <c r="H67" s="18">
        <v>0.1</v>
      </c>
      <c r="I67" s="9">
        <f t="shared" si="1"/>
        <v>99.61999999999999</v>
      </c>
      <c r="J67" s="19"/>
      <c r="K67" s="19"/>
      <c r="L67" s="19"/>
      <c r="M67" s="19"/>
      <c r="N67" s="19"/>
      <c r="O67" s="19"/>
    </row>
    <row r="68" spans="1:15" s="29" customFormat="1" ht="21" customHeight="1">
      <c r="A68" s="27"/>
      <c r="B68" s="26" t="s">
        <v>149</v>
      </c>
      <c r="C68" s="93"/>
      <c r="D68" s="12">
        <v>60008073286</v>
      </c>
      <c r="E68" s="30" t="s">
        <v>150</v>
      </c>
      <c r="F68" s="8">
        <f>23.12/2</f>
        <v>11.56</v>
      </c>
      <c r="G68" s="8">
        <f>0.6/2</f>
        <v>0.3</v>
      </c>
      <c r="H68" s="8">
        <f>0.21/2</f>
        <v>0.105</v>
      </c>
      <c r="I68" s="9">
        <f t="shared" si="1"/>
        <v>11.965000000000002</v>
      </c>
      <c r="J68" s="19"/>
      <c r="K68" s="19"/>
      <c r="L68" s="19"/>
      <c r="M68" s="19"/>
      <c r="N68" s="19"/>
      <c r="O68" s="19"/>
    </row>
    <row r="69" spans="1:15" s="20" customFormat="1" ht="21" customHeight="1">
      <c r="A69" s="27"/>
      <c r="B69" s="26" t="s">
        <v>151</v>
      </c>
      <c r="C69" s="26"/>
      <c r="D69" s="12">
        <v>60008101006</v>
      </c>
      <c r="E69" s="30" t="s">
        <v>152</v>
      </c>
      <c r="F69" s="8">
        <v>29.33</v>
      </c>
      <c r="G69" s="8">
        <v>0.84</v>
      </c>
      <c r="H69" s="8">
        <v>0.09</v>
      </c>
      <c r="I69" s="9">
        <f t="shared" si="1"/>
        <v>30.259999999999998</v>
      </c>
      <c r="J69" s="19"/>
      <c r="K69" s="19"/>
      <c r="L69" s="19"/>
      <c r="M69" s="19"/>
      <c r="N69" s="19"/>
      <c r="O69" s="19"/>
    </row>
    <row r="70" spans="1:15" s="20" customFormat="1" ht="21" customHeight="1">
      <c r="A70" s="27"/>
      <c r="B70" s="26" t="s">
        <v>153</v>
      </c>
      <c r="C70" s="26" t="s">
        <v>359</v>
      </c>
      <c r="D70" s="12">
        <v>60008115357</v>
      </c>
      <c r="E70" s="30" t="s">
        <v>154</v>
      </c>
      <c r="F70" s="8">
        <v>67.54</v>
      </c>
      <c r="G70" s="8">
        <v>2</v>
      </c>
      <c r="H70" s="8">
        <v>0.06</v>
      </c>
      <c r="I70" s="9">
        <f t="shared" si="1"/>
        <v>69.60000000000001</v>
      </c>
      <c r="J70" s="19"/>
      <c r="K70" s="19"/>
      <c r="L70" s="19"/>
      <c r="M70" s="19"/>
      <c r="N70" s="19"/>
      <c r="O70" s="19"/>
    </row>
    <row r="71" spans="1:15" s="20" customFormat="1" ht="21" customHeight="1">
      <c r="A71" s="27"/>
      <c r="B71" s="26" t="s">
        <v>155</v>
      </c>
      <c r="C71" s="26" t="s">
        <v>312</v>
      </c>
      <c r="D71" s="12">
        <v>60008450632</v>
      </c>
      <c r="E71" s="30" t="s">
        <v>156</v>
      </c>
      <c r="F71" s="8">
        <v>19.43</v>
      </c>
      <c r="G71" s="8">
        <v>0.56</v>
      </c>
      <c r="H71" s="8">
        <v>0.06</v>
      </c>
      <c r="I71" s="9">
        <f t="shared" si="1"/>
        <v>20.049999999999997</v>
      </c>
      <c r="J71" s="19"/>
      <c r="K71" s="19"/>
      <c r="L71" s="19"/>
      <c r="M71" s="19"/>
      <c r="N71" s="19"/>
      <c r="O71" s="19"/>
    </row>
    <row r="72" spans="1:15" ht="21" customHeight="1">
      <c r="A72" s="27"/>
      <c r="B72" s="26" t="s">
        <v>157</v>
      </c>
      <c r="C72" s="26" t="s">
        <v>360</v>
      </c>
      <c r="D72" s="12">
        <v>60008427213</v>
      </c>
      <c r="E72" s="30" t="s">
        <v>158</v>
      </c>
      <c r="F72" s="8">
        <f>44.99/2</f>
        <v>22.495</v>
      </c>
      <c r="G72" s="8">
        <f>1.32/2</f>
        <v>0.66</v>
      </c>
      <c r="H72" s="8">
        <f>0.07/2</f>
        <v>0.035</v>
      </c>
      <c r="I72" s="9">
        <f t="shared" si="1"/>
        <v>23.19</v>
      </c>
      <c r="J72" s="19"/>
      <c r="K72" s="19"/>
      <c r="L72" s="19"/>
      <c r="M72" s="19"/>
      <c r="N72" s="19"/>
      <c r="O72" s="19"/>
    </row>
    <row r="73" spans="1:15" ht="21" customHeight="1">
      <c r="A73" s="27"/>
      <c r="B73" s="26" t="s">
        <v>159</v>
      </c>
      <c r="C73" s="26" t="s">
        <v>361</v>
      </c>
      <c r="D73" s="12">
        <v>60008475541</v>
      </c>
      <c r="E73" s="30" t="s">
        <v>160</v>
      </c>
      <c r="F73" s="8">
        <f>138.14/2</f>
        <v>69.07</v>
      </c>
      <c r="G73" s="8">
        <f>4.11/2</f>
        <v>2.055</v>
      </c>
      <c r="H73" s="8">
        <f>0.07/2</f>
        <v>0.035</v>
      </c>
      <c r="I73" s="9">
        <f t="shared" si="1"/>
        <v>71.16</v>
      </c>
      <c r="J73" s="19"/>
      <c r="K73" s="19"/>
      <c r="L73" s="19"/>
      <c r="M73" s="19"/>
      <c r="N73" s="19"/>
      <c r="O73" s="19"/>
    </row>
    <row r="74" spans="1:15" ht="21" customHeight="1">
      <c r="A74" s="27"/>
      <c r="B74" s="26" t="s">
        <v>161</v>
      </c>
      <c r="C74" s="93"/>
      <c r="D74" s="12">
        <v>60008368817</v>
      </c>
      <c r="E74" s="30" t="s">
        <v>162</v>
      </c>
      <c r="F74" s="8">
        <v>27.47</v>
      </c>
      <c r="G74" s="8">
        <v>0.8</v>
      </c>
      <c r="H74" s="8">
        <v>0.05</v>
      </c>
      <c r="I74" s="9">
        <f t="shared" si="1"/>
        <v>28.32</v>
      </c>
      <c r="J74" s="19"/>
      <c r="K74" s="19"/>
      <c r="L74" s="19"/>
      <c r="M74" s="19"/>
      <c r="N74" s="19"/>
      <c r="O74" s="19"/>
    </row>
    <row r="75" spans="1:15" ht="21" customHeight="1">
      <c r="A75" s="27"/>
      <c r="B75" s="26" t="s">
        <v>163</v>
      </c>
      <c r="C75" s="26" t="s">
        <v>372</v>
      </c>
      <c r="D75" s="12">
        <v>60091069643</v>
      </c>
      <c r="E75" s="30" t="s">
        <v>164</v>
      </c>
      <c r="F75" s="8">
        <v>20.62</v>
      </c>
      <c r="G75" s="8">
        <v>0.59</v>
      </c>
      <c r="H75" s="8">
        <v>0.06</v>
      </c>
      <c r="I75" s="9">
        <f t="shared" si="1"/>
        <v>21.27</v>
      </c>
      <c r="J75" s="19"/>
      <c r="K75" s="19"/>
      <c r="L75" s="19"/>
      <c r="M75" s="19"/>
      <c r="N75" s="19"/>
      <c r="O75" s="19"/>
    </row>
    <row r="76" spans="1:15" ht="21" customHeight="1">
      <c r="A76" s="27"/>
      <c r="B76" s="26" t="s">
        <v>165</v>
      </c>
      <c r="C76" s="26" t="s">
        <v>363</v>
      </c>
      <c r="D76" s="12">
        <v>60089709450</v>
      </c>
      <c r="E76" s="30" t="s">
        <v>166</v>
      </c>
      <c r="F76" s="8">
        <v>29.56</v>
      </c>
      <c r="G76" s="8">
        <v>0.86</v>
      </c>
      <c r="H76" s="8">
        <v>0.05</v>
      </c>
      <c r="I76" s="9">
        <f t="shared" si="1"/>
        <v>30.47</v>
      </c>
      <c r="J76" s="19"/>
      <c r="K76" s="19"/>
      <c r="L76" s="19"/>
      <c r="M76" s="19"/>
      <c r="N76" s="19"/>
      <c r="O76" s="19"/>
    </row>
    <row r="77" spans="1:15" ht="21" customHeight="1">
      <c r="A77" s="27"/>
      <c r="B77" s="26" t="s">
        <v>167</v>
      </c>
      <c r="C77" s="26" t="s">
        <v>362</v>
      </c>
      <c r="D77" s="12">
        <v>60089553056</v>
      </c>
      <c r="E77" s="30" t="s">
        <v>168</v>
      </c>
      <c r="F77" s="8">
        <f>393.86/2</f>
        <v>196.93</v>
      </c>
      <c r="G77" s="8">
        <f>11.73/2</f>
        <v>5.865</v>
      </c>
      <c r="H77" s="8">
        <f>0.2/2</f>
        <v>0.1</v>
      </c>
      <c r="I77" s="9">
        <f t="shared" si="1"/>
        <v>202.895</v>
      </c>
      <c r="J77" s="19"/>
      <c r="K77" s="19"/>
      <c r="L77" s="19"/>
      <c r="M77" s="19"/>
      <c r="N77" s="19"/>
      <c r="O77" s="19"/>
    </row>
    <row r="78" spans="1:15" ht="21" customHeight="1">
      <c r="A78" s="27"/>
      <c r="B78" s="26" t="s">
        <v>169</v>
      </c>
      <c r="C78" s="26" t="s">
        <v>364</v>
      </c>
      <c r="D78" s="17">
        <v>60090692774</v>
      </c>
      <c r="E78" s="31" t="s">
        <v>170</v>
      </c>
      <c r="F78" s="18">
        <v>21.15</v>
      </c>
      <c r="G78" s="18">
        <v>0.61</v>
      </c>
      <c r="H78" s="18">
        <v>0.05</v>
      </c>
      <c r="I78" s="9">
        <f t="shared" si="1"/>
        <v>21.81</v>
      </c>
      <c r="J78" s="19"/>
      <c r="K78" s="19"/>
      <c r="L78" s="19"/>
      <c r="M78" s="19"/>
      <c r="N78" s="19"/>
      <c r="O78" s="19"/>
    </row>
    <row r="79" spans="1:15" ht="21" customHeight="1">
      <c r="A79" s="27"/>
      <c r="B79" s="26" t="s">
        <v>171</v>
      </c>
      <c r="C79" s="93"/>
      <c r="D79" s="12">
        <v>60006579681</v>
      </c>
      <c r="E79" s="30" t="s">
        <v>172</v>
      </c>
      <c r="F79" s="8">
        <v>21.11</v>
      </c>
      <c r="G79" s="8">
        <v>0.61</v>
      </c>
      <c r="H79" s="8">
        <v>0.06</v>
      </c>
      <c r="I79" s="9">
        <f t="shared" si="1"/>
        <v>21.779999999999998</v>
      </c>
      <c r="J79" s="19"/>
      <c r="K79" s="19"/>
      <c r="L79" s="19"/>
      <c r="M79" s="19"/>
      <c r="N79" s="19"/>
      <c r="O79" s="19"/>
    </row>
    <row r="80" spans="1:15" ht="21" customHeight="1">
      <c r="A80" s="27"/>
      <c r="B80" s="26" t="s">
        <v>173</v>
      </c>
      <c r="C80" s="26" t="s">
        <v>333</v>
      </c>
      <c r="D80" s="12">
        <v>60006586696</v>
      </c>
      <c r="E80" s="30" t="s">
        <v>174</v>
      </c>
      <c r="F80" s="8">
        <f>190.13/2</f>
        <v>95.065</v>
      </c>
      <c r="G80" s="8">
        <f>5.62/2</f>
        <v>2.81</v>
      </c>
      <c r="H80" s="8">
        <f>0.2/2</f>
        <v>0.1</v>
      </c>
      <c r="I80" s="9">
        <f t="shared" si="1"/>
        <v>97.975</v>
      </c>
      <c r="J80" s="19"/>
      <c r="K80" s="19"/>
      <c r="L80" s="19"/>
      <c r="M80" s="19"/>
      <c r="N80" s="19"/>
      <c r="O80" s="19"/>
    </row>
    <row r="81" spans="1:15" s="20" customFormat="1" ht="21" customHeight="1">
      <c r="A81" s="27"/>
      <c r="B81" s="26" t="s">
        <v>175</v>
      </c>
      <c r="C81" s="93"/>
      <c r="D81" s="17">
        <v>60006586704</v>
      </c>
      <c r="E81" s="31" t="s">
        <v>176</v>
      </c>
      <c r="F81" s="18">
        <f>24.17/2</f>
        <v>12.085</v>
      </c>
      <c r="G81" s="18">
        <f>0.69/2</f>
        <v>0.345</v>
      </c>
      <c r="H81" s="18">
        <f>0.08/2</f>
        <v>0.04</v>
      </c>
      <c r="I81" s="9">
        <f t="shared" si="1"/>
        <v>12.47</v>
      </c>
      <c r="J81" s="19"/>
      <c r="K81" s="19"/>
      <c r="L81" s="19"/>
      <c r="M81" s="19"/>
      <c r="N81" s="19"/>
      <c r="O81" s="19"/>
    </row>
    <row r="82" spans="1:15" s="20" customFormat="1" ht="21" customHeight="1">
      <c r="A82" s="27"/>
      <c r="B82" s="26" t="s">
        <v>177</v>
      </c>
      <c r="C82" s="26" t="s">
        <v>370</v>
      </c>
      <c r="D82" s="12">
        <v>60006587652</v>
      </c>
      <c r="E82" s="33" t="s">
        <v>178</v>
      </c>
      <c r="F82" s="15">
        <f>146.75/2</f>
        <v>73.375</v>
      </c>
      <c r="G82" s="15">
        <f>4.32/2</f>
        <v>2.16</v>
      </c>
      <c r="H82" s="15">
        <f>0.2/2</f>
        <v>0.1</v>
      </c>
      <c r="I82" s="9">
        <f t="shared" si="1"/>
        <v>75.63499999999999</v>
      </c>
      <c r="J82" s="19"/>
      <c r="K82" s="19"/>
      <c r="L82" s="19"/>
      <c r="M82" s="19"/>
      <c r="N82" s="19"/>
      <c r="O82" s="19"/>
    </row>
    <row r="83" spans="1:15" ht="21" customHeight="1">
      <c r="A83" s="27"/>
      <c r="B83" s="26" t="s">
        <v>179</v>
      </c>
      <c r="C83" s="26" t="s">
        <v>334</v>
      </c>
      <c r="D83" s="12">
        <v>60006587671</v>
      </c>
      <c r="E83" s="30" t="s">
        <v>180</v>
      </c>
      <c r="F83" s="8">
        <f>139.85/2</f>
        <v>69.925</v>
      </c>
      <c r="G83" s="8">
        <f>4.08/2</f>
        <v>2.04</v>
      </c>
      <c r="H83" s="8">
        <f>0.27/2</f>
        <v>0.135</v>
      </c>
      <c r="I83" s="9">
        <f t="shared" si="1"/>
        <v>72.10000000000001</v>
      </c>
      <c r="J83" s="19"/>
      <c r="K83" s="19"/>
      <c r="L83" s="19"/>
      <c r="M83" s="19"/>
      <c r="N83" s="19"/>
      <c r="O83" s="19"/>
    </row>
    <row r="84" spans="1:15" ht="21" customHeight="1">
      <c r="A84" s="27"/>
      <c r="B84" s="26" t="s">
        <v>181</v>
      </c>
      <c r="C84" s="26" t="s">
        <v>335</v>
      </c>
      <c r="D84" s="12">
        <v>60006593566</v>
      </c>
      <c r="E84" s="30" t="s">
        <v>182</v>
      </c>
      <c r="F84" s="8">
        <f>112.69/2</f>
        <v>56.345</v>
      </c>
      <c r="G84" s="8">
        <f>3.35/2</f>
        <v>1.675</v>
      </c>
      <c r="H84" s="8">
        <f>0.07/2</f>
        <v>0.035</v>
      </c>
      <c r="I84" s="9">
        <f t="shared" si="1"/>
        <v>58.05499999999999</v>
      </c>
      <c r="J84" s="19"/>
      <c r="K84" s="19"/>
      <c r="L84" s="19"/>
      <c r="M84" s="19"/>
      <c r="N84" s="19"/>
      <c r="O84" s="19"/>
    </row>
    <row r="85" spans="1:15" ht="21" customHeight="1">
      <c r="A85" s="27"/>
      <c r="B85" s="26" t="s">
        <v>183</v>
      </c>
      <c r="C85" s="26" t="s">
        <v>336</v>
      </c>
      <c r="D85" s="12">
        <v>60006601563</v>
      </c>
      <c r="E85" s="30" t="s">
        <v>184</v>
      </c>
      <c r="F85" s="8">
        <f>114.47/2</f>
        <v>57.235</v>
      </c>
      <c r="G85" s="8">
        <f>3.43/2</f>
        <v>1.715</v>
      </c>
      <c r="H85" s="8">
        <v>0</v>
      </c>
      <c r="I85" s="9">
        <f t="shared" si="1"/>
        <v>58.95</v>
      </c>
      <c r="J85" s="19"/>
      <c r="K85" s="19"/>
      <c r="L85" s="19"/>
      <c r="M85" s="19"/>
      <c r="N85" s="19"/>
      <c r="O85" s="19"/>
    </row>
    <row r="86" spans="1:15" s="20" customFormat="1" ht="21" customHeight="1">
      <c r="A86" s="27"/>
      <c r="B86" s="26" t="s">
        <v>185</v>
      </c>
      <c r="C86" s="26" t="s">
        <v>310</v>
      </c>
      <c r="D86" s="12">
        <v>60006630551</v>
      </c>
      <c r="E86" s="30" t="s">
        <v>186</v>
      </c>
      <c r="F86" s="8">
        <f>187/2</f>
        <v>93.5</v>
      </c>
      <c r="G86" s="8">
        <f>5.52/2</f>
        <v>2.76</v>
      </c>
      <c r="H86" s="8">
        <f>0.21/2</f>
        <v>0.105</v>
      </c>
      <c r="I86" s="9">
        <f t="shared" si="1"/>
        <v>96.36500000000001</v>
      </c>
      <c r="J86" s="19"/>
      <c r="K86" s="19"/>
      <c r="L86" s="19"/>
      <c r="M86" s="19"/>
      <c r="N86" s="19"/>
      <c r="O86" s="19"/>
    </row>
    <row r="87" spans="1:15" s="29" customFormat="1" ht="21" customHeight="1">
      <c r="A87" s="27"/>
      <c r="B87" s="26" t="s">
        <v>187</v>
      </c>
      <c r="C87" s="26" t="s">
        <v>287</v>
      </c>
      <c r="D87" s="12">
        <v>60006631759</v>
      </c>
      <c r="E87" s="30" t="s">
        <v>188</v>
      </c>
      <c r="F87" s="8">
        <f>112.38/2</f>
        <v>56.19</v>
      </c>
      <c r="G87" s="8">
        <f>3.34/2</f>
        <v>1.67</v>
      </c>
      <c r="H87" s="8">
        <f>0.07/2</f>
        <v>0.035</v>
      </c>
      <c r="I87" s="9">
        <f t="shared" si="1"/>
        <v>57.894999999999996</v>
      </c>
      <c r="J87" s="19"/>
      <c r="K87" s="19"/>
      <c r="L87" s="19"/>
      <c r="M87" s="19"/>
      <c r="N87" s="19"/>
      <c r="O87" s="19"/>
    </row>
    <row r="88" spans="1:15" s="29" customFormat="1" ht="21" customHeight="1">
      <c r="A88" s="27"/>
      <c r="B88" s="26" t="s">
        <v>189</v>
      </c>
      <c r="C88" s="26" t="s">
        <v>339</v>
      </c>
      <c r="D88" s="12">
        <v>60006631974</v>
      </c>
      <c r="E88" s="30" t="s">
        <v>190</v>
      </c>
      <c r="F88" s="8">
        <v>109.61</v>
      </c>
      <c r="G88" s="8">
        <v>3.26</v>
      </c>
      <c r="H88" s="8">
        <v>0.06</v>
      </c>
      <c r="I88" s="9">
        <f t="shared" si="1"/>
        <v>112.93</v>
      </c>
      <c r="J88" s="19"/>
      <c r="K88" s="19"/>
      <c r="L88" s="19"/>
      <c r="M88" s="19"/>
      <c r="N88" s="19"/>
      <c r="O88" s="19"/>
    </row>
    <row r="89" spans="1:9" ht="21" customHeight="1">
      <c r="A89" s="27"/>
      <c r="B89" s="26" t="s">
        <v>191</v>
      </c>
      <c r="C89" s="26" t="s">
        <v>356</v>
      </c>
      <c r="D89" s="12">
        <v>60007843337</v>
      </c>
      <c r="E89" s="30" t="s">
        <v>192</v>
      </c>
      <c r="F89" s="8">
        <f>149.63/2</f>
        <v>74.815</v>
      </c>
      <c r="G89" s="8">
        <f>4.46/2</f>
        <v>2.23</v>
      </c>
      <c r="H89" s="8">
        <f>0.07/2</f>
        <v>0.035</v>
      </c>
      <c r="I89" s="9">
        <f t="shared" si="1"/>
        <v>77.08</v>
      </c>
    </row>
    <row r="90" spans="1:9" ht="21" customHeight="1">
      <c r="A90" s="27"/>
      <c r="B90" s="26" t="s">
        <v>193</v>
      </c>
      <c r="C90" s="26" t="s">
        <v>305</v>
      </c>
      <c r="D90" s="12">
        <v>60006631992</v>
      </c>
      <c r="E90" s="30" t="s">
        <v>194</v>
      </c>
      <c r="F90" s="8">
        <v>191.59</v>
      </c>
      <c r="G90" s="8">
        <v>5.71</v>
      </c>
      <c r="H90" s="8">
        <v>0.09</v>
      </c>
      <c r="I90" s="9">
        <f t="shared" si="1"/>
        <v>197.39000000000001</v>
      </c>
    </row>
    <row r="91" spans="1:9" ht="21" customHeight="1">
      <c r="A91" s="27"/>
      <c r="B91" s="26" t="s">
        <v>195</v>
      </c>
      <c r="C91" s="26" t="s">
        <v>341</v>
      </c>
      <c r="D91" s="12">
        <v>60006632013</v>
      </c>
      <c r="E91" s="30" t="s">
        <v>196</v>
      </c>
      <c r="F91" s="8">
        <f>21.91/2</f>
        <v>10.955</v>
      </c>
      <c r="G91" s="8">
        <f>0.63/2</f>
        <v>0.315</v>
      </c>
      <c r="H91" s="8">
        <f>0.07/2</f>
        <v>0.035</v>
      </c>
      <c r="I91" s="9">
        <f t="shared" si="1"/>
        <v>11.305</v>
      </c>
    </row>
    <row r="92" spans="1:9" ht="21" customHeight="1">
      <c r="A92" s="27"/>
      <c r="B92" s="26" t="s">
        <v>197</v>
      </c>
      <c r="C92" s="26" t="s">
        <v>288</v>
      </c>
      <c r="D92" s="12">
        <v>60006632028</v>
      </c>
      <c r="E92" s="30" t="s">
        <v>198</v>
      </c>
      <c r="F92" s="8">
        <f>457.57/2</f>
        <v>228.785</v>
      </c>
      <c r="G92" s="8">
        <f>13.64/2</f>
        <v>6.82</v>
      </c>
      <c r="H92" s="8">
        <f>0.21/2</f>
        <v>0.105</v>
      </c>
      <c r="I92" s="9">
        <f t="shared" si="1"/>
        <v>235.70999999999998</v>
      </c>
    </row>
    <row r="93" spans="1:9" ht="21" customHeight="1">
      <c r="A93" s="27"/>
      <c r="B93" s="26" t="s">
        <v>199</v>
      </c>
      <c r="C93" s="26" t="s">
        <v>342</v>
      </c>
      <c r="D93" s="12">
        <v>60006632034</v>
      </c>
      <c r="E93" s="30" t="s">
        <v>200</v>
      </c>
      <c r="F93" s="8">
        <v>25.09</v>
      </c>
      <c r="G93" s="8">
        <v>0.73</v>
      </c>
      <c r="H93" s="8">
        <v>0.05</v>
      </c>
      <c r="I93" s="9">
        <f t="shared" si="1"/>
        <v>25.87</v>
      </c>
    </row>
    <row r="94" spans="1:9" ht="21" customHeight="1">
      <c r="A94" s="27"/>
      <c r="B94" s="26" t="s">
        <v>201</v>
      </c>
      <c r="C94" s="26" t="s">
        <v>343</v>
      </c>
      <c r="D94" s="12">
        <v>60006637176</v>
      </c>
      <c r="E94" s="30" t="s">
        <v>202</v>
      </c>
      <c r="F94" s="8">
        <f>106.48/3</f>
        <v>35.49333333333333</v>
      </c>
      <c r="G94" s="8">
        <f>3.19/2</f>
        <v>1.595</v>
      </c>
      <c r="H94" s="8">
        <v>0</v>
      </c>
      <c r="I94" s="9">
        <f t="shared" si="1"/>
        <v>37.08833333333333</v>
      </c>
    </row>
    <row r="95" spans="1:9" ht="21" customHeight="1">
      <c r="A95" s="27"/>
      <c r="B95" s="26" t="s">
        <v>203</v>
      </c>
      <c r="C95" s="93"/>
      <c r="D95" s="12">
        <v>60006637235</v>
      </c>
      <c r="E95" s="30" t="s">
        <v>204</v>
      </c>
      <c r="F95" s="8">
        <f>23.83/2</f>
        <v>11.915</v>
      </c>
      <c r="G95" s="8">
        <f>0.68/2</f>
        <v>0.34</v>
      </c>
      <c r="H95" s="8">
        <f>0.07/2</f>
        <v>0.035</v>
      </c>
      <c r="I95" s="9">
        <f t="shared" si="1"/>
        <v>12.29</v>
      </c>
    </row>
    <row r="96" spans="1:9" ht="21" customHeight="1">
      <c r="A96" s="27"/>
      <c r="B96" s="26" t="s">
        <v>205</v>
      </c>
      <c r="C96" s="26" t="s">
        <v>306</v>
      </c>
      <c r="D96" s="12">
        <v>60006637714</v>
      </c>
      <c r="E96" s="30" t="s">
        <v>206</v>
      </c>
      <c r="F96" s="8">
        <f>63.33/2</f>
        <v>31.665</v>
      </c>
      <c r="G96" s="8">
        <f>1.81/2</f>
        <v>0.905</v>
      </c>
      <c r="H96" s="8">
        <f>0.21/2</f>
        <v>0.105</v>
      </c>
      <c r="I96" s="9">
        <f t="shared" si="1"/>
        <v>32.675</v>
      </c>
    </row>
    <row r="97" spans="1:9" ht="21" customHeight="1">
      <c r="A97" s="27"/>
      <c r="B97" s="26" t="s">
        <v>207</v>
      </c>
      <c r="C97" s="93"/>
      <c r="D97" s="12">
        <v>60006642108</v>
      </c>
      <c r="E97" s="30" t="s">
        <v>208</v>
      </c>
      <c r="F97" s="8">
        <f>23.83/2</f>
        <v>11.915</v>
      </c>
      <c r="G97" s="8">
        <f>0.68/2</f>
        <v>0.34</v>
      </c>
      <c r="H97" s="8">
        <f>0.07/2</f>
        <v>0.035</v>
      </c>
      <c r="I97" s="9">
        <f t="shared" si="1"/>
        <v>12.29</v>
      </c>
    </row>
    <row r="98" spans="1:9" ht="21" customHeight="1">
      <c r="A98" s="27"/>
      <c r="B98" s="26" t="s">
        <v>209</v>
      </c>
      <c r="C98" s="93"/>
      <c r="D98" s="12">
        <v>60006642114</v>
      </c>
      <c r="E98" s="30" t="s">
        <v>210</v>
      </c>
      <c r="F98" s="8">
        <f>23.83/2</f>
        <v>11.915</v>
      </c>
      <c r="G98" s="8">
        <f>0.68/2</f>
        <v>0.34</v>
      </c>
      <c r="H98" s="8">
        <f>0.07/2</f>
        <v>0.035</v>
      </c>
      <c r="I98" s="9">
        <f t="shared" si="1"/>
        <v>12.29</v>
      </c>
    </row>
    <row r="99" spans="1:9" ht="21" customHeight="1">
      <c r="A99" s="27"/>
      <c r="B99" s="26" t="s">
        <v>211</v>
      </c>
      <c r="C99" s="26" t="s">
        <v>290</v>
      </c>
      <c r="D99" s="12">
        <v>60006644426</v>
      </c>
      <c r="E99" s="30" t="s">
        <v>212</v>
      </c>
      <c r="F99" s="8">
        <v>45.48</v>
      </c>
      <c r="G99" s="8">
        <v>1.34</v>
      </c>
      <c r="H99" s="8">
        <v>0.05</v>
      </c>
      <c r="I99" s="9">
        <f t="shared" si="1"/>
        <v>46.87</v>
      </c>
    </row>
    <row r="100" spans="1:9" ht="21" customHeight="1">
      <c r="A100" s="27"/>
      <c r="B100" s="26" t="s">
        <v>213</v>
      </c>
      <c r="C100" s="93"/>
      <c r="D100" s="12">
        <v>60006644431</v>
      </c>
      <c r="E100" s="30" t="s">
        <v>214</v>
      </c>
      <c r="F100" s="8">
        <v>63.34</v>
      </c>
      <c r="G100" s="8">
        <v>1.88</v>
      </c>
      <c r="H100" s="8">
        <v>0.05</v>
      </c>
      <c r="I100" s="9">
        <f t="shared" si="1"/>
        <v>65.27</v>
      </c>
    </row>
    <row r="101" spans="1:9" ht="21" customHeight="1">
      <c r="A101" s="27"/>
      <c r="B101" s="26" t="s">
        <v>215</v>
      </c>
      <c r="C101" s="26" t="s">
        <v>344</v>
      </c>
      <c r="D101" s="12">
        <v>60006644654</v>
      </c>
      <c r="E101" s="30" t="s">
        <v>216</v>
      </c>
      <c r="F101" s="18">
        <f>34.51/2</f>
        <v>17.255</v>
      </c>
      <c r="G101" s="18">
        <f>1.01/2</f>
        <v>0.505</v>
      </c>
      <c r="H101" s="18">
        <f>0.07/2</f>
        <v>0.035</v>
      </c>
      <c r="I101" s="87">
        <f t="shared" si="1"/>
        <v>17.794999999999998</v>
      </c>
    </row>
    <row r="102" spans="1:9" ht="21" customHeight="1">
      <c r="A102" s="27"/>
      <c r="B102" s="26" t="s">
        <v>217</v>
      </c>
      <c r="C102" s="93"/>
      <c r="D102" s="12">
        <v>60007182237</v>
      </c>
      <c r="E102" s="30" t="s">
        <v>218</v>
      </c>
      <c r="F102" s="8"/>
      <c r="G102" s="8"/>
      <c r="H102" s="8"/>
      <c r="I102" s="9">
        <f t="shared" si="1"/>
        <v>0</v>
      </c>
    </row>
    <row r="103" spans="1:9" ht="21" customHeight="1">
      <c r="A103" s="27"/>
      <c r="B103" s="26" t="s">
        <v>219</v>
      </c>
      <c r="C103" s="26" t="s">
        <v>354</v>
      </c>
      <c r="D103" s="12">
        <v>60007843211</v>
      </c>
      <c r="E103" s="30" t="s">
        <v>220</v>
      </c>
      <c r="F103" s="8">
        <v>23.98</v>
      </c>
      <c r="G103" s="8">
        <v>0.7</v>
      </c>
      <c r="H103" s="8">
        <v>0.05</v>
      </c>
      <c r="I103" s="9">
        <f t="shared" si="1"/>
        <v>24.73</v>
      </c>
    </row>
    <row r="104" spans="1:9" ht="21" customHeight="1">
      <c r="A104" s="27"/>
      <c r="B104" s="26" t="s">
        <v>221</v>
      </c>
      <c r="C104" s="26" t="s">
        <v>355</v>
      </c>
      <c r="D104" s="12">
        <v>60007843225</v>
      </c>
      <c r="E104" s="30" t="s">
        <v>222</v>
      </c>
      <c r="F104" s="8">
        <v>9.7</v>
      </c>
      <c r="G104" s="8">
        <v>0.27</v>
      </c>
      <c r="H104" s="8">
        <v>0.05</v>
      </c>
      <c r="I104" s="9">
        <f t="shared" si="1"/>
        <v>10.02</v>
      </c>
    </row>
    <row r="105" spans="1:9" ht="21" customHeight="1">
      <c r="A105" s="27"/>
      <c r="B105" s="26" t="s">
        <v>223</v>
      </c>
      <c r="C105" s="26" t="s">
        <v>347</v>
      </c>
      <c r="D105" s="12">
        <v>60007211343</v>
      </c>
      <c r="E105" s="30" t="s">
        <v>224</v>
      </c>
      <c r="F105" s="8">
        <f>10.17/2</f>
        <v>5.085</v>
      </c>
      <c r="G105" s="8">
        <f>0.31/2</f>
        <v>0.155</v>
      </c>
      <c r="H105" s="8">
        <v>0</v>
      </c>
      <c r="I105" s="9">
        <f t="shared" si="1"/>
        <v>5.24</v>
      </c>
    </row>
    <row r="106" spans="1:9" ht="21" customHeight="1">
      <c r="A106" s="27"/>
      <c r="B106" s="26" t="s">
        <v>225</v>
      </c>
      <c r="C106" s="26" t="s">
        <v>346</v>
      </c>
      <c r="D106" s="12">
        <v>60007211339</v>
      </c>
      <c r="E106" s="30" t="s">
        <v>226</v>
      </c>
      <c r="F106" s="8">
        <f>96.21/2</f>
        <v>48.105</v>
      </c>
      <c r="G106" s="8">
        <f>2.8/2</f>
        <v>1.4</v>
      </c>
      <c r="H106" s="8">
        <f>0.21/2</f>
        <v>0.105</v>
      </c>
      <c r="I106" s="9">
        <f t="shared" si="1"/>
        <v>49.60999999999999</v>
      </c>
    </row>
    <row r="107" spans="1:9" ht="21" customHeight="1">
      <c r="A107" s="27"/>
      <c r="B107" s="26" t="s">
        <v>227</v>
      </c>
      <c r="C107" s="26" t="s">
        <v>291</v>
      </c>
      <c r="D107" s="12">
        <v>60007239731</v>
      </c>
      <c r="E107" s="30" t="s">
        <v>228</v>
      </c>
      <c r="F107" s="8">
        <f>214.97/2</f>
        <v>107.485</v>
      </c>
      <c r="G107" s="8">
        <f>6.42/2</f>
        <v>3.21</v>
      </c>
      <c r="H107" s="8">
        <f>0.07/2</f>
        <v>0.035</v>
      </c>
      <c r="I107" s="9">
        <f t="shared" si="1"/>
        <v>110.72999999999999</v>
      </c>
    </row>
    <row r="108" spans="1:9" ht="21" customHeight="1">
      <c r="A108" s="27"/>
      <c r="B108" s="26" t="s">
        <v>229</v>
      </c>
      <c r="C108" s="26" t="s">
        <v>348</v>
      </c>
      <c r="D108" s="12">
        <v>60007483419</v>
      </c>
      <c r="E108" s="30" t="s">
        <v>230</v>
      </c>
      <c r="F108" s="8">
        <f>108.74/2</f>
        <v>54.37</v>
      </c>
      <c r="G108" s="8">
        <f>3.23/2</f>
        <v>1.615</v>
      </c>
      <c r="H108" s="8">
        <f>0.07/2</f>
        <v>0.035</v>
      </c>
      <c r="I108" s="9">
        <f t="shared" si="1"/>
        <v>56.019999999999996</v>
      </c>
    </row>
    <row r="109" spans="1:9" ht="21" customHeight="1">
      <c r="A109" s="27"/>
      <c r="B109" s="26" t="s">
        <v>231</v>
      </c>
      <c r="C109" s="26" t="s">
        <v>301</v>
      </c>
      <c r="D109" s="12">
        <v>60006579638</v>
      </c>
      <c r="E109" s="30" t="s">
        <v>232</v>
      </c>
      <c r="F109" s="8">
        <v>10.91</v>
      </c>
      <c r="G109" s="8">
        <v>0.31</v>
      </c>
      <c r="H109" s="8">
        <v>0.05</v>
      </c>
      <c r="I109" s="9">
        <f t="shared" si="1"/>
        <v>11.270000000000001</v>
      </c>
    </row>
    <row r="110" spans="1:9" ht="21" customHeight="1">
      <c r="A110" s="27"/>
      <c r="B110" s="26" t="s">
        <v>233</v>
      </c>
      <c r="C110" s="26" t="s">
        <v>349</v>
      </c>
      <c r="D110" s="12">
        <v>60006579657</v>
      </c>
      <c r="E110" s="30" t="s">
        <v>234</v>
      </c>
      <c r="F110" s="8">
        <v>85.21</v>
      </c>
      <c r="G110" s="8">
        <v>2.53</v>
      </c>
      <c r="H110" s="8">
        <v>0.05</v>
      </c>
      <c r="I110" s="9">
        <f t="shared" si="1"/>
        <v>87.78999999999999</v>
      </c>
    </row>
    <row r="111" spans="1:9" ht="21" customHeight="1">
      <c r="A111" s="27"/>
      <c r="B111" s="26" t="s">
        <v>235</v>
      </c>
      <c r="C111" s="93"/>
      <c r="D111" s="12">
        <v>60006579676</v>
      </c>
      <c r="E111" s="30" t="s">
        <v>236</v>
      </c>
      <c r="F111" s="8">
        <v>12.24</v>
      </c>
      <c r="G111" s="8">
        <v>0.34</v>
      </c>
      <c r="H111" s="8">
        <v>0.05</v>
      </c>
      <c r="I111" s="9">
        <f t="shared" si="1"/>
        <v>12.63</v>
      </c>
    </row>
    <row r="112" spans="1:9" ht="21" customHeight="1">
      <c r="A112" s="27"/>
      <c r="B112" s="26" t="s">
        <v>237</v>
      </c>
      <c r="C112" s="26" t="s">
        <v>351</v>
      </c>
      <c r="D112" s="12">
        <v>60007631681</v>
      </c>
      <c r="E112" s="30" t="s">
        <v>238</v>
      </c>
      <c r="F112" s="8">
        <v>10.89</v>
      </c>
      <c r="G112" s="8">
        <v>0.3</v>
      </c>
      <c r="H112" s="8">
        <v>0.05</v>
      </c>
      <c r="I112" s="9">
        <f t="shared" si="1"/>
        <v>11.240000000000002</v>
      </c>
    </row>
    <row r="113" spans="1:9" ht="21" customHeight="1">
      <c r="A113" s="27"/>
      <c r="B113" s="26" t="s">
        <v>239</v>
      </c>
      <c r="C113" s="26" t="s">
        <v>357</v>
      </c>
      <c r="D113" s="12">
        <v>60007848373</v>
      </c>
      <c r="E113" s="30" t="s">
        <v>240</v>
      </c>
      <c r="F113" s="8">
        <f>231.15/2</f>
        <v>115.575</v>
      </c>
      <c r="G113" s="8">
        <f>6.85/2</f>
        <v>3.425</v>
      </c>
      <c r="H113" s="8">
        <f>0.21/2</f>
        <v>0.105</v>
      </c>
      <c r="I113" s="9">
        <f t="shared" si="1"/>
        <v>119.105</v>
      </c>
    </row>
    <row r="114" spans="1:9" ht="21" customHeight="1">
      <c r="A114" s="27"/>
      <c r="B114" s="26" t="s">
        <v>241</v>
      </c>
      <c r="C114" s="26" t="s">
        <v>338</v>
      </c>
      <c r="D114" s="12">
        <v>60006631880</v>
      </c>
      <c r="E114" s="30" t="s">
        <v>242</v>
      </c>
      <c r="F114" s="8">
        <f>65.1/2</f>
        <v>32.55</v>
      </c>
      <c r="G114" s="8">
        <f>1.92/2</f>
        <v>0.96</v>
      </c>
      <c r="H114" s="8">
        <f>0.08/2</f>
        <v>0.04</v>
      </c>
      <c r="I114" s="9">
        <f t="shared" si="1"/>
        <v>33.55</v>
      </c>
    </row>
    <row r="115" spans="1:9" ht="21" customHeight="1">
      <c r="A115" s="27"/>
      <c r="B115" s="26" t="s">
        <v>243</v>
      </c>
      <c r="C115" s="26" t="s">
        <v>320</v>
      </c>
      <c r="D115" s="12">
        <v>60006631920</v>
      </c>
      <c r="E115" s="30" t="s">
        <v>244</v>
      </c>
      <c r="F115" s="8">
        <f>232.8/2</f>
        <v>116.4</v>
      </c>
      <c r="G115" s="8">
        <f>6.89/2</f>
        <v>3.445</v>
      </c>
      <c r="H115" s="8">
        <f>0.22/2</f>
        <v>0.11</v>
      </c>
      <c r="I115" s="9">
        <f t="shared" si="1"/>
        <v>119.955</v>
      </c>
    </row>
    <row r="116" spans="1:9" ht="21" customHeight="1">
      <c r="A116" s="27"/>
      <c r="B116" s="26" t="s">
        <v>245</v>
      </c>
      <c r="C116" s="26" t="s">
        <v>340</v>
      </c>
      <c r="D116" s="12">
        <v>60006631987</v>
      </c>
      <c r="E116" s="30" t="s">
        <v>246</v>
      </c>
      <c r="F116" s="8">
        <f>427.03/2</f>
        <v>213.515</v>
      </c>
      <c r="G116" s="8">
        <f>12.72/2</f>
        <v>6.36</v>
      </c>
      <c r="H116" s="8">
        <f>0.21/2</f>
        <v>0.105</v>
      </c>
      <c r="I116" s="9">
        <f t="shared" si="1"/>
        <v>219.98</v>
      </c>
    </row>
    <row r="117" spans="1:9" ht="21" customHeight="1">
      <c r="A117" s="27"/>
      <c r="B117" s="26" t="s">
        <v>247</v>
      </c>
      <c r="C117" s="26" t="s">
        <v>373</v>
      </c>
      <c r="D117" s="12">
        <v>60006632009</v>
      </c>
      <c r="E117" s="30" t="s">
        <v>248</v>
      </c>
      <c r="F117" s="8">
        <f>425.65/2</f>
        <v>212.825</v>
      </c>
      <c r="G117" s="8">
        <f>12.7/2</f>
        <v>6.35</v>
      </c>
      <c r="H117" s="8">
        <f>0.17/2</f>
        <v>0.085</v>
      </c>
      <c r="I117" s="9">
        <f t="shared" si="1"/>
        <v>219.26</v>
      </c>
    </row>
    <row r="118" spans="1:9" ht="21" customHeight="1">
      <c r="A118" s="27"/>
      <c r="B118" s="26" t="s">
        <v>249</v>
      </c>
      <c r="C118" s="26" t="s">
        <v>350</v>
      </c>
      <c r="D118" s="12">
        <v>60007611240</v>
      </c>
      <c r="E118" s="30" t="s">
        <v>250</v>
      </c>
      <c r="F118" s="8">
        <f>431.23/2+7.77</f>
        <v>223.38500000000002</v>
      </c>
      <c r="G118" s="8">
        <f>12.9/2+0.23</f>
        <v>6.680000000000001</v>
      </c>
      <c r="H118" s="8">
        <f>0.09/2</f>
        <v>0.045</v>
      </c>
      <c r="I118" s="9">
        <f t="shared" si="1"/>
        <v>230.11</v>
      </c>
    </row>
    <row r="119" spans="1:9" ht="21" customHeight="1">
      <c r="A119" s="27"/>
      <c r="B119" s="26" t="s">
        <v>251</v>
      </c>
      <c r="C119" s="26" t="s">
        <v>337</v>
      </c>
      <c r="D119" s="12">
        <v>60006613294</v>
      </c>
      <c r="E119" s="30" t="s">
        <v>252</v>
      </c>
      <c r="F119" s="8">
        <f>118.86/2</f>
        <v>59.43</v>
      </c>
      <c r="G119" s="8">
        <f>3.57/2</f>
        <v>1.785</v>
      </c>
      <c r="H119" s="8">
        <v>0</v>
      </c>
      <c r="I119" s="9">
        <f t="shared" si="1"/>
        <v>61.214999999999996</v>
      </c>
    </row>
    <row r="120" spans="1:9" ht="21" customHeight="1">
      <c r="A120" s="27"/>
      <c r="B120" s="26" t="s">
        <v>253</v>
      </c>
      <c r="C120" s="26" t="s">
        <v>303</v>
      </c>
      <c r="D120" s="12">
        <v>60006631725</v>
      </c>
      <c r="E120" s="30" t="s">
        <v>254</v>
      </c>
      <c r="F120" s="8">
        <f>248.85/2</f>
        <v>124.425</v>
      </c>
      <c r="G120" s="8">
        <f>7.43/2</f>
        <v>3.715</v>
      </c>
      <c r="H120" s="8">
        <f>0.07/2</f>
        <v>0.035</v>
      </c>
      <c r="I120" s="9">
        <f aca="true" t="shared" si="2" ref="I120:I130">SUM(F120:H120)</f>
        <v>128.17499999999998</v>
      </c>
    </row>
    <row r="121" spans="1:9" ht="21" customHeight="1">
      <c r="A121" s="27"/>
      <c r="B121" s="26" t="s">
        <v>255</v>
      </c>
      <c r="C121" s="26" t="s">
        <v>304</v>
      </c>
      <c r="D121" s="12">
        <v>60006631818</v>
      </c>
      <c r="E121" s="30" t="s">
        <v>256</v>
      </c>
      <c r="F121" s="8">
        <f>12.15/2+11.27/2</f>
        <v>11.71</v>
      </c>
      <c r="G121" s="8">
        <f>0.34/2+0.32/2</f>
        <v>0.33</v>
      </c>
      <c r="H121" s="8">
        <f>0.05/2+0.05/2</f>
        <v>0.05</v>
      </c>
      <c r="I121" s="9">
        <f t="shared" si="2"/>
        <v>12.090000000000002</v>
      </c>
    </row>
    <row r="122" spans="1:9" ht="21" customHeight="1">
      <c r="A122" s="28"/>
      <c r="B122" s="25" t="s">
        <v>257</v>
      </c>
      <c r="C122" s="95"/>
      <c r="D122" s="14">
        <v>60006631824</v>
      </c>
      <c r="E122" s="45" t="s">
        <v>258</v>
      </c>
      <c r="F122" s="15">
        <f>906.69*0.5</f>
        <v>453.345</v>
      </c>
      <c r="G122" s="15">
        <f>27.13*0.5</f>
        <v>13.565</v>
      </c>
      <c r="H122" s="15">
        <f>0.18*0.5</f>
        <v>0.09</v>
      </c>
      <c r="I122" s="9">
        <f t="shared" si="2"/>
        <v>467</v>
      </c>
    </row>
    <row r="123" spans="1:9" ht="21" customHeight="1">
      <c r="A123" s="28"/>
      <c r="B123" s="25" t="s">
        <v>259</v>
      </c>
      <c r="C123" s="25" t="s">
        <v>345</v>
      </c>
      <c r="D123" s="14">
        <v>60006872372</v>
      </c>
      <c r="E123" s="45" t="s">
        <v>260</v>
      </c>
      <c r="F123" s="15">
        <v>21.75</v>
      </c>
      <c r="G123" s="15">
        <v>0.63</v>
      </c>
      <c r="H123" s="15">
        <v>0.05</v>
      </c>
      <c r="I123" s="9">
        <f t="shared" si="2"/>
        <v>22.43</v>
      </c>
    </row>
    <row r="124" spans="1:9" ht="21" customHeight="1">
      <c r="A124" s="28"/>
      <c r="B124" s="25" t="s">
        <v>261</v>
      </c>
      <c r="C124" s="25" t="s">
        <v>321</v>
      </c>
      <c r="D124" s="14">
        <v>60006974384</v>
      </c>
      <c r="E124" s="45" t="s">
        <v>262</v>
      </c>
      <c r="F124" s="15">
        <f>102.37/2</f>
        <v>51.185</v>
      </c>
      <c r="G124" s="15">
        <f>3.04/2</f>
        <v>1.52</v>
      </c>
      <c r="H124" s="15">
        <f>0.07/2</f>
        <v>0.035</v>
      </c>
      <c r="I124" s="9">
        <f t="shared" si="2"/>
        <v>52.74</v>
      </c>
    </row>
    <row r="125" spans="1:9" ht="21" customHeight="1">
      <c r="A125" s="28"/>
      <c r="B125" s="25" t="s">
        <v>263</v>
      </c>
      <c r="C125" s="25" t="s">
        <v>368</v>
      </c>
      <c r="D125" s="14">
        <v>60006581324</v>
      </c>
      <c r="E125" s="45" t="s">
        <v>264</v>
      </c>
      <c r="F125" s="15">
        <v>342.64</v>
      </c>
      <c r="G125" s="15">
        <v>10.24</v>
      </c>
      <c r="H125" s="15">
        <v>0.09</v>
      </c>
      <c r="I125" s="9">
        <f t="shared" si="2"/>
        <v>352.96999999999997</v>
      </c>
    </row>
    <row r="126" spans="1:9" ht="21" customHeight="1">
      <c r="A126" s="28"/>
      <c r="B126" s="25" t="s">
        <v>265</v>
      </c>
      <c r="C126" s="25" t="s">
        <v>352</v>
      </c>
      <c r="D126" s="14">
        <v>60007651627</v>
      </c>
      <c r="E126" s="45" t="s">
        <v>266</v>
      </c>
      <c r="F126" s="15">
        <v>12.57</v>
      </c>
      <c r="G126" s="15">
        <v>0.35</v>
      </c>
      <c r="H126" s="15">
        <v>0.05</v>
      </c>
      <c r="I126" s="9">
        <f t="shared" si="2"/>
        <v>12.97</v>
      </c>
    </row>
    <row r="127" spans="1:9" ht="21" customHeight="1">
      <c r="A127" s="28"/>
      <c r="B127" s="25" t="s">
        <v>267</v>
      </c>
      <c r="C127" s="95"/>
      <c r="D127" s="14">
        <v>83007351147</v>
      </c>
      <c r="E127" s="45" t="s">
        <v>268</v>
      </c>
      <c r="F127" s="15">
        <v>11.96</v>
      </c>
      <c r="G127" s="15">
        <v>0.33</v>
      </c>
      <c r="H127" s="15">
        <v>0.06</v>
      </c>
      <c r="I127" s="9">
        <f t="shared" si="2"/>
        <v>12.350000000000001</v>
      </c>
    </row>
    <row r="128" spans="1:9" ht="21" customHeight="1">
      <c r="A128" s="28"/>
      <c r="B128" s="25" t="s">
        <v>269</v>
      </c>
      <c r="C128" s="25"/>
      <c r="D128" s="14">
        <v>83007705623</v>
      </c>
      <c r="E128" s="45" t="s">
        <v>270</v>
      </c>
      <c r="F128" s="15">
        <v>18.42</v>
      </c>
      <c r="G128" s="15">
        <v>0.53</v>
      </c>
      <c r="H128" s="15">
        <v>0.05</v>
      </c>
      <c r="I128" s="9">
        <f t="shared" si="2"/>
        <v>19.000000000000004</v>
      </c>
    </row>
    <row r="129" spans="1:9" ht="21" customHeight="1">
      <c r="A129" s="28"/>
      <c r="B129" s="25" t="s">
        <v>271</v>
      </c>
      <c r="C129" s="25"/>
      <c r="D129" s="14">
        <v>83007812488</v>
      </c>
      <c r="E129" s="45" t="s">
        <v>272</v>
      </c>
      <c r="F129" s="15">
        <v>52.1</v>
      </c>
      <c r="G129" s="15">
        <v>1.54</v>
      </c>
      <c r="H129" s="15">
        <v>0.06</v>
      </c>
      <c r="I129" s="9">
        <f t="shared" si="2"/>
        <v>53.7</v>
      </c>
    </row>
    <row r="130" spans="1:9" ht="21" customHeight="1">
      <c r="A130" s="28"/>
      <c r="B130" s="25" t="s">
        <v>273</v>
      </c>
      <c r="C130" s="25"/>
      <c r="D130" s="14">
        <v>83007946440</v>
      </c>
      <c r="E130" s="45" t="s">
        <v>274</v>
      </c>
      <c r="F130" s="15"/>
      <c r="G130" s="15"/>
      <c r="H130" s="15"/>
      <c r="I130" s="9">
        <f t="shared" si="2"/>
        <v>0</v>
      </c>
    </row>
    <row r="131" spans="1:9" ht="21" customHeight="1" thickBot="1">
      <c r="A131" s="10" t="s">
        <v>0</v>
      </c>
      <c r="B131" s="24"/>
      <c r="C131" s="24"/>
      <c r="D131" s="13"/>
      <c r="E131" s="13"/>
      <c r="F131" s="34"/>
      <c r="G131" s="34"/>
      <c r="H131" s="34"/>
      <c r="I131" s="38">
        <f>SUM(I8:I130)</f>
        <v>26477.25333333334</v>
      </c>
    </row>
    <row r="132" ht="13.5" thickTop="1"/>
  </sheetData>
  <sheetProtection/>
  <mergeCells count="3">
    <mergeCell ref="G2:I2"/>
    <mergeCell ref="G4:I4"/>
    <mergeCell ref="H3:I3"/>
  </mergeCells>
  <printOptions horizontalCentered="1"/>
  <pageMargins left="0.3937007874015748" right="0.3937007874015748" top="0.5905511811023623" bottom="0.5905511811023623" header="0" footer="0"/>
  <pageSetup fitToHeight="0" fitToWidth="1" horizontalDpi="600" verticalDpi="600" orientation="portrait" paperSize="9" scale="3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31"/>
  <sheetViews>
    <sheetView view="pageBreakPreview" zoomScale="90" zoomScaleSheetLayoutView="90" zoomScalePageLayoutView="0" workbookViewId="0" topLeftCell="A48">
      <selection activeCell="A54" sqref="A54:IV56"/>
    </sheetView>
  </sheetViews>
  <sheetFormatPr defaultColWidth="11.421875" defaultRowHeight="12.75"/>
  <cols>
    <col min="1" max="1" width="15.140625" style="1" customWidth="1"/>
    <col min="2" max="2" width="87.140625" style="21" customWidth="1"/>
    <col min="3" max="3" width="104.00390625" style="21" customWidth="1"/>
    <col min="4" max="4" width="23.8515625" style="1" customWidth="1"/>
    <col min="5" max="5" width="33.8515625" style="1" hidden="1" customWidth="1"/>
    <col min="6" max="6" width="22.57421875" style="2" customWidth="1"/>
    <col min="7" max="7" width="23.421875" style="2" customWidth="1"/>
    <col min="8" max="8" width="19.140625" style="2" customWidth="1"/>
    <col min="9" max="9" width="18.28125" style="2" bestFit="1" customWidth="1"/>
    <col min="10" max="10" width="11.421875" style="1" customWidth="1"/>
    <col min="11" max="11" width="11.57421875" style="1" bestFit="1" customWidth="1"/>
    <col min="12" max="16384" width="11.421875" style="1" customWidth="1"/>
  </cols>
  <sheetData>
    <row r="1" spans="1:9" ht="15.75" customHeight="1">
      <c r="A1" s="52"/>
      <c r="B1" s="54"/>
      <c r="C1" s="54"/>
      <c r="F1" s="52"/>
      <c r="G1" s="52"/>
      <c r="H1" s="52"/>
      <c r="I1" s="52"/>
    </row>
    <row r="2" spans="1:9" ht="42.75" customHeight="1">
      <c r="A2" s="52"/>
      <c r="B2" s="54"/>
      <c r="C2" s="54"/>
      <c r="F2" s="101" t="s">
        <v>116</v>
      </c>
      <c r="G2" s="101"/>
      <c r="H2" s="101"/>
      <c r="I2" s="101"/>
    </row>
    <row r="3" spans="1:9" ht="33.75" customHeight="1">
      <c r="A3" s="52"/>
      <c r="B3" s="54"/>
      <c r="C3" s="54"/>
      <c r="F3" s="52"/>
      <c r="G3" s="100"/>
      <c r="H3" s="100"/>
      <c r="I3" s="100"/>
    </row>
    <row r="4" spans="1:9" ht="21.75" customHeight="1">
      <c r="A4" s="52"/>
      <c r="B4" s="54"/>
      <c r="C4" s="54"/>
      <c r="F4" s="99" t="s">
        <v>276</v>
      </c>
      <c r="G4" s="99"/>
      <c r="H4" s="99"/>
      <c r="I4" s="99"/>
    </row>
    <row r="5" spans="1:9" ht="15.75" customHeight="1">
      <c r="A5" s="52"/>
      <c r="B5" s="54"/>
      <c r="C5" s="54"/>
      <c r="F5" s="52"/>
      <c r="G5" s="52"/>
      <c r="H5" s="52"/>
      <c r="I5" s="52"/>
    </row>
    <row r="6" spans="1:9" ht="15.75" customHeight="1" thickBot="1">
      <c r="A6" s="55"/>
      <c r="B6" s="56"/>
      <c r="C6" s="56"/>
      <c r="D6" s="3"/>
      <c r="E6" s="3"/>
      <c r="F6" s="55"/>
      <c r="G6" s="55"/>
      <c r="H6" s="55"/>
      <c r="I6" s="52"/>
    </row>
    <row r="7" spans="1:9" ht="21" customHeight="1" thickTop="1">
      <c r="A7" s="57" t="s">
        <v>1</v>
      </c>
      <c r="B7" s="58" t="s">
        <v>3</v>
      </c>
      <c r="C7" s="23" t="s">
        <v>285</v>
      </c>
      <c r="D7" s="11" t="s">
        <v>2</v>
      </c>
      <c r="E7" s="11" t="s">
        <v>11</v>
      </c>
      <c r="F7" s="59" t="s">
        <v>4</v>
      </c>
      <c r="G7" s="59" t="s">
        <v>5</v>
      </c>
      <c r="H7" s="73" t="s">
        <v>13</v>
      </c>
      <c r="I7" s="53" t="s">
        <v>0</v>
      </c>
    </row>
    <row r="8" spans="1:9" ht="21" customHeight="1">
      <c r="A8" s="60"/>
      <c r="B8" s="72" t="s">
        <v>15</v>
      </c>
      <c r="C8" s="72" t="s">
        <v>316</v>
      </c>
      <c r="D8" s="12">
        <v>83006884161</v>
      </c>
      <c r="E8" s="30" t="s">
        <v>16</v>
      </c>
      <c r="F8" s="46">
        <v>29</v>
      </c>
      <c r="G8" s="46">
        <v>114</v>
      </c>
      <c r="H8" s="74">
        <v>62</v>
      </c>
      <c r="I8" s="51">
        <f>F8+G8+H8</f>
        <v>205</v>
      </c>
    </row>
    <row r="9" spans="1:9" ht="21" customHeight="1">
      <c r="A9" s="60"/>
      <c r="B9" s="26" t="s">
        <v>17</v>
      </c>
      <c r="C9" s="26" t="s">
        <v>314</v>
      </c>
      <c r="D9" s="12">
        <v>83001699293</v>
      </c>
      <c r="E9" s="30" t="s">
        <v>19</v>
      </c>
      <c r="F9" s="46">
        <v>1299.5</v>
      </c>
      <c r="G9" s="46">
        <v>0</v>
      </c>
      <c r="H9" s="74">
        <v>0</v>
      </c>
      <c r="I9" s="51">
        <f aca="true" t="shared" si="0" ref="I9:I59">F9+G9+H9</f>
        <v>1299.5</v>
      </c>
    </row>
    <row r="10" spans="1:9" ht="21" customHeight="1">
      <c r="A10" s="60"/>
      <c r="B10" s="26" t="s">
        <v>18</v>
      </c>
      <c r="C10" s="26" t="s">
        <v>324</v>
      </c>
      <c r="D10" s="12">
        <v>83002793469</v>
      </c>
      <c r="E10" s="30" t="s">
        <v>20</v>
      </c>
      <c r="F10" s="46">
        <v>2516</v>
      </c>
      <c r="G10" s="46">
        <v>1123</v>
      </c>
      <c r="H10" s="74">
        <v>407</v>
      </c>
      <c r="I10" s="51">
        <f t="shared" si="0"/>
        <v>4046</v>
      </c>
    </row>
    <row r="11" spans="1:9" ht="21" customHeight="1">
      <c r="A11" s="60"/>
      <c r="B11" s="26" t="s">
        <v>21</v>
      </c>
      <c r="C11" s="26" t="s">
        <v>365</v>
      </c>
      <c r="D11" s="12">
        <v>83005319585</v>
      </c>
      <c r="E11" s="30" t="s">
        <v>22</v>
      </c>
      <c r="F11" s="46">
        <v>135</v>
      </c>
      <c r="G11" s="46">
        <v>434</v>
      </c>
      <c r="H11" s="74">
        <v>129</v>
      </c>
      <c r="I11" s="51">
        <f t="shared" si="0"/>
        <v>698</v>
      </c>
    </row>
    <row r="12" spans="1:9" ht="21" customHeight="1">
      <c r="A12" s="60"/>
      <c r="B12" s="26" t="s">
        <v>23</v>
      </c>
      <c r="C12" s="26" t="s">
        <v>325</v>
      </c>
      <c r="D12" s="61">
        <v>999395654431</v>
      </c>
      <c r="E12" s="30" t="s">
        <v>24</v>
      </c>
      <c r="F12" s="46">
        <v>4512</v>
      </c>
      <c r="G12" s="46">
        <v>1768</v>
      </c>
      <c r="H12" s="74">
        <v>1385</v>
      </c>
      <c r="I12" s="51">
        <f t="shared" si="0"/>
        <v>7665</v>
      </c>
    </row>
    <row r="13" spans="1:9" ht="21" customHeight="1">
      <c r="A13" s="60"/>
      <c r="B13" s="26" t="s">
        <v>25</v>
      </c>
      <c r="C13" s="26" t="s">
        <v>315</v>
      </c>
      <c r="D13" s="61">
        <v>999395655454</v>
      </c>
      <c r="E13" s="30" t="s">
        <v>26</v>
      </c>
      <c r="F13" s="46">
        <v>163</v>
      </c>
      <c r="G13" s="46">
        <v>724</v>
      </c>
      <c r="H13" s="74">
        <v>159</v>
      </c>
      <c r="I13" s="51">
        <f t="shared" si="0"/>
        <v>1046</v>
      </c>
    </row>
    <row r="14" spans="1:9" ht="21" customHeight="1">
      <c r="A14" s="60"/>
      <c r="B14" s="26" t="s">
        <v>27</v>
      </c>
      <c r="C14" s="26" t="s">
        <v>326</v>
      </c>
      <c r="D14" s="61">
        <v>512012286</v>
      </c>
      <c r="E14" s="30" t="s">
        <v>28</v>
      </c>
      <c r="F14" s="46">
        <v>2067</v>
      </c>
      <c r="G14" s="46">
        <v>762</v>
      </c>
      <c r="H14" s="74">
        <v>272</v>
      </c>
      <c r="I14" s="51">
        <f t="shared" si="0"/>
        <v>3101</v>
      </c>
    </row>
    <row r="15" spans="1:9" ht="21" customHeight="1">
      <c r="A15" s="60"/>
      <c r="B15" s="26" t="s">
        <v>29</v>
      </c>
      <c r="C15" s="26" t="s">
        <v>327</v>
      </c>
      <c r="D15" s="61">
        <v>999395659634</v>
      </c>
      <c r="E15" s="30" t="s">
        <v>30</v>
      </c>
      <c r="F15" s="46">
        <v>1876</v>
      </c>
      <c r="G15" s="46">
        <v>695</v>
      </c>
      <c r="H15" s="74">
        <v>361</v>
      </c>
      <c r="I15" s="51">
        <f t="shared" si="0"/>
        <v>2932</v>
      </c>
    </row>
    <row r="16" spans="1:9" ht="21" customHeight="1">
      <c r="A16" s="60"/>
      <c r="B16" s="26" t="s">
        <v>31</v>
      </c>
      <c r="C16" s="26" t="s">
        <v>317</v>
      </c>
      <c r="D16" s="61">
        <v>999395660462</v>
      </c>
      <c r="E16" s="30" t="s">
        <v>32</v>
      </c>
      <c r="F16" s="46">
        <v>427</v>
      </c>
      <c r="G16" s="46">
        <v>676</v>
      </c>
      <c r="H16" s="74">
        <v>629</v>
      </c>
      <c r="I16" s="51">
        <f t="shared" si="0"/>
        <v>1732</v>
      </c>
    </row>
    <row r="17" spans="1:9" ht="21" customHeight="1">
      <c r="A17" s="60"/>
      <c r="B17" s="26" t="s">
        <v>33</v>
      </c>
      <c r="C17" s="26" t="s">
        <v>366</v>
      </c>
      <c r="D17" s="61">
        <v>999395662284</v>
      </c>
      <c r="E17" s="30" t="s">
        <v>34</v>
      </c>
      <c r="F17" s="46">
        <v>1525</v>
      </c>
      <c r="G17" s="46">
        <v>6097</v>
      </c>
      <c r="H17" s="74">
        <v>2456</v>
      </c>
      <c r="I17" s="51">
        <f t="shared" si="0"/>
        <v>10078</v>
      </c>
    </row>
    <row r="18" spans="1:9" ht="21" customHeight="1">
      <c r="A18" s="60"/>
      <c r="B18" s="26" t="s">
        <v>35</v>
      </c>
      <c r="C18" s="26" t="s">
        <v>292</v>
      </c>
      <c r="D18" s="61">
        <v>999395662947</v>
      </c>
      <c r="E18" s="30" t="s">
        <v>36</v>
      </c>
      <c r="F18" s="46">
        <v>227</v>
      </c>
      <c r="G18" s="46">
        <v>1888</v>
      </c>
      <c r="H18" s="74">
        <v>269</v>
      </c>
      <c r="I18" s="51">
        <f t="shared" si="0"/>
        <v>2384</v>
      </c>
    </row>
    <row r="19" spans="1:9" ht="21" customHeight="1">
      <c r="A19" s="60"/>
      <c r="B19" s="26" t="s">
        <v>37</v>
      </c>
      <c r="C19" s="26" t="s">
        <v>369</v>
      </c>
      <c r="D19" s="61">
        <v>999395663410</v>
      </c>
      <c r="E19" s="30" t="s">
        <v>38</v>
      </c>
      <c r="F19" s="46">
        <v>136</v>
      </c>
      <c r="G19" s="46">
        <v>1600</v>
      </c>
      <c r="H19" s="74">
        <v>276</v>
      </c>
      <c r="I19" s="51">
        <f t="shared" si="0"/>
        <v>2012</v>
      </c>
    </row>
    <row r="20" spans="1:9" ht="21" customHeight="1">
      <c r="A20" s="60"/>
      <c r="B20" s="26" t="s">
        <v>39</v>
      </c>
      <c r="C20" s="26" t="s">
        <v>293</v>
      </c>
      <c r="D20" s="61">
        <v>999395665004</v>
      </c>
      <c r="E20" s="30" t="s">
        <v>40</v>
      </c>
      <c r="F20" s="46">
        <v>78</v>
      </c>
      <c r="G20" s="46">
        <v>1977</v>
      </c>
      <c r="H20" s="74">
        <v>403</v>
      </c>
      <c r="I20" s="51">
        <f t="shared" si="0"/>
        <v>2458</v>
      </c>
    </row>
    <row r="21" spans="1:9" ht="21" customHeight="1">
      <c r="A21" s="60"/>
      <c r="B21" s="26" t="s">
        <v>41</v>
      </c>
      <c r="C21" s="26" t="s">
        <v>367</v>
      </c>
      <c r="D21" s="61">
        <v>999395665500</v>
      </c>
      <c r="E21" s="30" t="s">
        <v>42</v>
      </c>
      <c r="F21" s="46">
        <v>962</v>
      </c>
      <c r="G21" s="46">
        <v>1874</v>
      </c>
      <c r="H21" s="74">
        <v>759</v>
      </c>
      <c r="I21" s="51">
        <f t="shared" si="0"/>
        <v>3595</v>
      </c>
    </row>
    <row r="22" spans="1:9" ht="21" customHeight="1">
      <c r="A22" s="60"/>
      <c r="B22" s="26" t="s">
        <v>43</v>
      </c>
      <c r="C22" s="93"/>
      <c r="D22" s="61">
        <v>999395674678</v>
      </c>
      <c r="E22" s="30" t="s">
        <v>44</v>
      </c>
      <c r="F22" s="46">
        <v>172</v>
      </c>
      <c r="G22" s="46">
        <v>166</v>
      </c>
      <c r="H22" s="74">
        <v>130</v>
      </c>
      <c r="I22" s="51">
        <f t="shared" si="0"/>
        <v>468</v>
      </c>
    </row>
    <row r="23" spans="1:9" ht="21" customHeight="1">
      <c r="A23" s="60"/>
      <c r="B23" s="26" t="s">
        <v>45</v>
      </c>
      <c r="C23" s="26" t="s">
        <v>307</v>
      </c>
      <c r="D23" s="61">
        <v>999395675751</v>
      </c>
      <c r="E23" s="30" t="s">
        <v>46</v>
      </c>
      <c r="F23" s="46">
        <v>443</v>
      </c>
      <c r="G23" s="46">
        <v>1177</v>
      </c>
      <c r="H23" s="74">
        <v>962</v>
      </c>
      <c r="I23" s="51">
        <f t="shared" si="0"/>
        <v>2582</v>
      </c>
    </row>
    <row r="24" spans="1:9" s="19" customFormat="1" ht="21" customHeight="1">
      <c r="A24" s="60"/>
      <c r="B24" s="26" t="s">
        <v>47</v>
      </c>
      <c r="C24" s="26" t="s">
        <v>318</v>
      </c>
      <c r="D24" s="61">
        <v>999395676257</v>
      </c>
      <c r="E24" s="30" t="s">
        <v>48</v>
      </c>
      <c r="F24" s="46">
        <v>28</v>
      </c>
      <c r="G24" s="46">
        <v>294</v>
      </c>
      <c r="H24" s="74">
        <v>87</v>
      </c>
      <c r="I24" s="51">
        <f t="shared" si="0"/>
        <v>409</v>
      </c>
    </row>
    <row r="25" spans="1:9" s="19" customFormat="1" ht="21" customHeight="1">
      <c r="A25" s="60"/>
      <c r="B25" s="26" t="s">
        <v>49</v>
      </c>
      <c r="C25" s="26" t="s">
        <v>328</v>
      </c>
      <c r="D25" s="61">
        <v>999395676905</v>
      </c>
      <c r="E25" s="30" t="s">
        <v>50</v>
      </c>
      <c r="F25" s="46">
        <v>351</v>
      </c>
      <c r="G25" s="46">
        <v>379</v>
      </c>
      <c r="H25" s="74">
        <v>35</v>
      </c>
      <c r="I25" s="51">
        <f t="shared" si="0"/>
        <v>765</v>
      </c>
    </row>
    <row r="26" spans="1:9" ht="21" customHeight="1">
      <c r="A26" s="60"/>
      <c r="B26" s="26" t="s">
        <v>51</v>
      </c>
      <c r="C26" s="93"/>
      <c r="D26" s="61">
        <v>999395677339</v>
      </c>
      <c r="E26" s="30" t="s">
        <v>52</v>
      </c>
      <c r="F26" s="46">
        <v>122</v>
      </c>
      <c r="G26" s="46">
        <v>849</v>
      </c>
      <c r="H26" s="74">
        <v>2</v>
      </c>
      <c r="I26" s="51">
        <f t="shared" si="0"/>
        <v>973</v>
      </c>
    </row>
    <row r="27" spans="1:9" ht="21" customHeight="1">
      <c r="A27" s="60"/>
      <c r="B27" s="26" t="s">
        <v>53</v>
      </c>
      <c r="C27" s="93"/>
      <c r="D27" s="61">
        <v>999395680029</v>
      </c>
      <c r="E27" s="30" t="s">
        <v>54</v>
      </c>
      <c r="F27" s="46">
        <v>111</v>
      </c>
      <c r="G27" s="46">
        <v>807</v>
      </c>
      <c r="H27" s="74">
        <v>0</v>
      </c>
      <c r="I27" s="51">
        <f>F27+G27+H27</f>
        <v>918</v>
      </c>
    </row>
    <row r="28" spans="1:9" ht="21" customHeight="1">
      <c r="A28" s="60"/>
      <c r="B28" s="26" t="s">
        <v>55</v>
      </c>
      <c r="C28" s="26" t="s">
        <v>294</v>
      </c>
      <c r="D28" s="61">
        <v>999395682858</v>
      </c>
      <c r="E28" s="30" t="s">
        <v>56</v>
      </c>
      <c r="F28" s="46">
        <v>224</v>
      </c>
      <c r="G28" s="46">
        <v>1773</v>
      </c>
      <c r="H28" s="74">
        <v>551</v>
      </c>
      <c r="I28" s="51">
        <f t="shared" si="0"/>
        <v>2548</v>
      </c>
    </row>
    <row r="29" spans="1:9" ht="21" customHeight="1">
      <c r="A29" s="60"/>
      <c r="B29" s="26" t="s">
        <v>57</v>
      </c>
      <c r="C29" s="26" t="s">
        <v>295</v>
      </c>
      <c r="D29" s="12">
        <v>512095448</v>
      </c>
      <c r="E29" s="30" t="s">
        <v>58</v>
      </c>
      <c r="F29" s="46">
        <v>407</v>
      </c>
      <c r="G29" s="46">
        <v>3380</v>
      </c>
      <c r="H29" s="74">
        <v>702</v>
      </c>
      <c r="I29" s="51">
        <f t="shared" si="0"/>
        <v>4489</v>
      </c>
    </row>
    <row r="30" spans="1:9" ht="21" customHeight="1">
      <c r="A30" s="60"/>
      <c r="B30" s="26" t="s">
        <v>59</v>
      </c>
      <c r="C30" s="26" t="s">
        <v>296</v>
      </c>
      <c r="D30" s="61">
        <v>999395695033</v>
      </c>
      <c r="E30" s="30" t="s">
        <v>60</v>
      </c>
      <c r="F30" s="46">
        <v>2440</v>
      </c>
      <c r="G30" s="46">
        <v>0</v>
      </c>
      <c r="H30" s="74">
        <v>0</v>
      </c>
      <c r="I30" s="51">
        <f t="shared" si="0"/>
        <v>2440</v>
      </c>
    </row>
    <row r="31" spans="1:9" ht="21" customHeight="1">
      <c r="A31" s="60"/>
      <c r="B31" s="26" t="s">
        <v>61</v>
      </c>
      <c r="C31" s="26" t="s">
        <v>296</v>
      </c>
      <c r="D31" s="61">
        <v>999395696742</v>
      </c>
      <c r="E31" s="30" t="s">
        <v>62</v>
      </c>
      <c r="F31" s="46">
        <f>8124/2</f>
        <v>4062</v>
      </c>
      <c r="G31" s="46">
        <v>0</v>
      </c>
      <c r="H31" s="74">
        <v>0</v>
      </c>
      <c r="I31" s="51">
        <f t="shared" si="0"/>
        <v>4062</v>
      </c>
    </row>
    <row r="32" spans="1:9" ht="21" customHeight="1">
      <c r="A32" s="60"/>
      <c r="B32" s="26" t="s">
        <v>63</v>
      </c>
      <c r="C32" s="26" t="s">
        <v>308</v>
      </c>
      <c r="D32" s="61">
        <v>999395697615</v>
      </c>
      <c r="E32" s="30" t="s">
        <v>64</v>
      </c>
      <c r="F32" s="46">
        <f>4905/2</f>
        <v>2452.5</v>
      </c>
      <c r="G32" s="46">
        <v>0</v>
      </c>
      <c r="H32" s="74">
        <v>0</v>
      </c>
      <c r="I32" s="51">
        <f t="shared" si="0"/>
        <v>2452.5</v>
      </c>
    </row>
    <row r="33" spans="1:9" ht="21" customHeight="1">
      <c r="A33" s="60"/>
      <c r="B33" s="26" t="s">
        <v>65</v>
      </c>
      <c r="C33" s="26" t="s">
        <v>297</v>
      </c>
      <c r="D33" s="61">
        <v>999395698321</v>
      </c>
      <c r="E33" s="30" t="s">
        <v>66</v>
      </c>
      <c r="F33" s="46">
        <f>4427/2</f>
        <v>2213.5</v>
      </c>
      <c r="G33" s="46">
        <v>0</v>
      </c>
      <c r="H33" s="74">
        <v>0</v>
      </c>
      <c r="I33" s="51">
        <f t="shared" si="0"/>
        <v>2213.5</v>
      </c>
    </row>
    <row r="34" spans="1:9" ht="21" customHeight="1">
      <c r="A34" s="60"/>
      <c r="B34" s="26" t="s">
        <v>67</v>
      </c>
      <c r="C34" s="26" t="s">
        <v>309</v>
      </c>
      <c r="D34" s="62">
        <v>999395698661</v>
      </c>
      <c r="E34" s="31" t="s">
        <v>68</v>
      </c>
      <c r="F34" s="47">
        <f>2035/2</f>
        <v>1017.5</v>
      </c>
      <c r="G34" s="47">
        <v>0</v>
      </c>
      <c r="H34" s="75">
        <v>0</v>
      </c>
      <c r="I34" s="51">
        <f t="shared" si="0"/>
        <v>1017.5</v>
      </c>
    </row>
    <row r="35" spans="1:9" s="20" customFormat="1" ht="21" customHeight="1">
      <c r="A35" s="60"/>
      <c r="B35" s="26" t="s">
        <v>69</v>
      </c>
      <c r="C35" s="26"/>
      <c r="D35" s="61">
        <v>999395699042</v>
      </c>
      <c r="E35" s="30" t="s">
        <v>70</v>
      </c>
      <c r="F35" s="46">
        <f>6323/2</f>
        <v>3161.5</v>
      </c>
      <c r="G35" s="46">
        <v>0</v>
      </c>
      <c r="H35" s="74">
        <v>0</v>
      </c>
      <c r="I35" s="51">
        <f t="shared" si="0"/>
        <v>3161.5</v>
      </c>
    </row>
    <row r="36" spans="1:9" ht="21" customHeight="1">
      <c r="A36" s="60"/>
      <c r="B36" s="26" t="s">
        <v>71</v>
      </c>
      <c r="C36" s="93"/>
      <c r="D36" s="61">
        <v>999395699192</v>
      </c>
      <c r="E36" s="30" t="s">
        <v>72</v>
      </c>
      <c r="F36" s="47">
        <f>1621/2</f>
        <v>810.5</v>
      </c>
      <c r="G36" s="47">
        <v>0</v>
      </c>
      <c r="H36" s="75">
        <v>0</v>
      </c>
      <c r="I36" s="92">
        <f t="shared" si="0"/>
        <v>810.5</v>
      </c>
    </row>
    <row r="37" spans="1:9" ht="21" customHeight="1">
      <c r="A37" s="60"/>
      <c r="B37" s="26" t="s">
        <v>73</v>
      </c>
      <c r="C37" s="93"/>
      <c r="D37" s="61">
        <v>999395699382</v>
      </c>
      <c r="E37" s="30" t="s">
        <v>74</v>
      </c>
      <c r="F37" s="46">
        <f>2076/2</f>
        <v>1038</v>
      </c>
      <c r="G37" s="46">
        <v>0</v>
      </c>
      <c r="H37" s="74">
        <v>0</v>
      </c>
      <c r="I37" s="51">
        <f t="shared" si="0"/>
        <v>1038</v>
      </c>
    </row>
    <row r="38" spans="1:9" ht="21" customHeight="1">
      <c r="A38" s="60"/>
      <c r="B38" s="26" t="s">
        <v>75</v>
      </c>
      <c r="C38" s="26" t="s">
        <v>298</v>
      </c>
      <c r="D38" s="61">
        <v>999395699631</v>
      </c>
      <c r="E38" s="30" t="s">
        <v>76</v>
      </c>
      <c r="F38" s="46">
        <f>274/2</f>
        <v>137</v>
      </c>
      <c r="G38" s="46">
        <v>0</v>
      </c>
      <c r="H38" s="74">
        <v>0</v>
      </c>
      <c r="I38" s="51">
        <f t="shared" si="0"/>
        <v>137</v>
      </c>
    </row>
    <row r="39" spans="1:9" ht="21" customHeight="1">
      <c r="A39" s="60"/>
      <c r="B39" s="26" t="s">
        <v>77</v>
      </c>
      <c r="C39" s="93"/>
      <c r="D39" s="61">
        <v>999395699855</v>
      </c>
      <c r="E39" s="30" t="s">
        <v>78</v>
      </c>
      <c r="F39" s="46">
        <f>1810/2</f>
        <v>905</v>
      </c>
      <c r="G39" s="46">
        <v>0</v>
      </c>
      <c r="H39" s="74">
        <v>0</v>
      </c>
      <c r="I39" s="51">
        <f t="shared" si="0"/>
        <v>905</v>
      </c>
    </row>
    <row r="40" spans="1:9" ht="21" customHeight="1">
      <c r="A40" s="60"/>
      <c r="B40" s="26" t="s">
        <v>79</v>
      </c>
      <c r="C40" s="26" t="s">
        <v>299</v>
      </c>
      <c r="D40" s="61">
        <v>999395699914</v>
      </c>
      <c r="E40" s="30" t="s">
        <v>80</v>
      </c>
      <c r="F40" s="46">
        <f>3111/2</f>
        <v>1555.5</v>
      </c>
      <c r="G40" s="46">
        <v>0</v>
      </c>
      <c r="H40" s="74">
        <v>0</v>
      </c>
      <c r="I40" s="51">
        <f t="shared" si="0"/>
        <v>1555.5</v>
      </c>
    </row>
    <row r="41" spans="1:9" ht="21" customHeight="1">
      <c r="A41" s="60"/>
      <c r="B41" s="26" t="s">
        <v>81</v>
      </c>
      <c r="C41" s="26" t="s">
        <v>329</v>
      </c>
      <c r="D41" s="61">
        <v>999395720675</v>
      </c>
      <c r="E41" s="30" t="s">
        <v>82</v>
      </c>
      <c r="F41" s="46">
        <f>6982/2</f>
        <v>3491</v>
      </c>
      <c r="G41" s="46">
        <v>0</v>
      </c>
      <c r="H41" s="74">
        <v>0</v>
      </c>
      <c r="I41" s="51">
        <f t="shared" si="0"/>
        <v>3491</v>
      </c>
    </row>
    <row r="42" spans="1:9" ht="21" customHeight="1">
      <c r="A42" s="60"/>
      <c r="B42" s="26" t="s">
        <v>83</v>
      </c>
      <c r="C42" s="26" t="s">
        <v>300</v>
      </c>
      <c r="D42" s="61">
        <v>999395721493</v>
      </c>
      <c r="E42" s="30" t="s">
        <v>84</v>
      </c>
      <c r="F42" s="46">
        <f>4860/2</f>
        <v>2430</v>
      </c>
      <c r="G42" s="46">
        <v>0</v>
      </c>
      <c r="H42" s="74">
        <v>0</v>
      </c>
      <c r="I42" s="51">
        <f t="shared" si="0"/>
        <v>2430</v>
      </c>
    </row>
    <row r="43" spans="1:9" ht="21" customHeight="1">
      <c r="A43" s="60"/>
      <c r="B43" s="26" t="s">
        <v>85</v>
      </c>
      <c r="C43" s="26"/>
      <c r="D43" s="61">
        <v>999395728957</v>
      </c>
      <c r="E43" s="30" t="s">
        <v>86</v>
      </c>
      <c r="F43" s="46">
        <f>470/2</f>
        <v>235</v>
      </c>
      <c r="G43" s="46">
        <v>0</v>
      </c>
      <c r="H43" s="74">
        <v>0</v>
      </c>
      <c r="I43" s="51">
        <f t="shared" si="0"/>
        <v>235</v>
      </c>
    </row>
    <row r="44" spans="1:9" ht="21" customHeight="1">
      <c r="A44" s="60"/>
      <c r="B44" s="26" t="s">
        <v>87</v>
      </c>
      <c r="C44" s="26" t="s">
        <v>330</v>
      </c>
      <c r="D44" s="61">
        <v>999395729357</v>
      </c>
      <c r="E44" s="30" t="s">
        <v>88</v>
      </c>
      <c r="F44" s="46">
        <f>1351/2</f>
        <v>675.5</v>
      </c>
      <c r="G44" s="46">
        <v>0</v>
      </c>
      <c r="H44" s="74">
        <v>0</v>
      </c>
      <c r="I44" s="51">
        <f t="shared" si="0"/>
        <v>675.5</v>
      </c>
    </row>
    <row r="45" spans="1:9" ht="21" customHeight="1">
      <c r="A45" s="60"/>
      <c r="B45" s="26" t="s">
        <v>89</v>
      </c>
      <c r="C45" s="93"/>
      <c r="D45" s="61">
        <v>999395729815</v>
      </c>
      <c r="E45" s="30" t="s">
        <v>90</v>
      </c>
      <c r="F45" s="46">
        <f>923/2</f>
        <v>461.5</v>
      </c>
      <c r="G45" s="46">
        <v>0</v>
      </c>
      <c r="H45" s="74">
        <v>0</v>
      </c>
      <c r="I45" s="51">
        <f t="shared" si="0"/>
        <v>461.5</v>
      </c>
    </row>
    <row r="46" spans="1:9" ht="21" customHeight="1">
      <c r="A46" s="60"/>
      <c r="B46" s="26" t="s">
        <v>94</v>
      </c>
      <c r="C46" s="26" t="s">
        <v>331</v>
      </c>
      <c r="D46" s="61">
        <v>999395730546</v>
      </c>
      <c r="E46" s="30" t="s">
        <v>91</v>
      </c>
      <c r="F46" s="46">
        <f>38/2</f>
        <v>19</v>
      </c>
      <c r="G46" s="46">
        <v>0</v>
      </c>
      <c r="H46" s="74">
        <v>0</v>
      </c>
      <c r="I46" s="51">
        <f t="shared" si="0"/>
        <v>19</v>
      </c>
    </row>
    <row r="47" spans="1:9" ht="21" customHeight="1">
      <c r="A47" s="60"/>
      <c r="B47" s="26" t="s">
        <v>92</v>
      </c>
      <c r="C47" s="26" t="s">
        <v>319</v>
      </c>
      <c r="D47" s="61">
        <v>999395731005</v>
      </c>
      <c r="E47" s="32" t="s">
        <v>93</v>
      </c>
      <c r="F47" s="46">
        <f>1356/2</f>
        <v>678</v>
      </c>
      <c r="G47" s="46">
        <v>0</v>
      </c>
      <c r="H47" s="74">
        <v>0</v>
      </c>
      <c r="I47" s="51">
        <f t="shared" si="0"/>
        <v>678</v>
      </c>
    </row>
    <row r="48" spans="1:9" ht="21" customHeight="1">
      <c r="A48" s="60"/>
      <c r="B48" s="26" t="s">
        <v>95</v>
      </c>
      <c r="C48" s="93"/>
      <c r="D48" s="61">
        <v>999395731797</v>
      </c>
      <c r="E48" s="30" t="s">
        <v>96</v>
      </c>
      <c r="F48" s="46">
        <f>751/2</f>
        <v>375.5</v>
      </c>
      <c r="G48" s="46">
        <v>0</v>
      </c>
      <c r="H48" s="74">
        <v>0</v>
      </c>
      <c r="I48" s="51">
        <f t="shared" si="0"/>
        <v>375.5</v>
      </c>
    </row>
    <row r="49" spans="1:9" ht="21" customHeight="1">
      <c r="A49" s="60"/>
      <c r="B49" s="26" t="s">
        <v>97</v>
      </c>
      <c r="C49" s="26"/>
      <c r="D49" s="61">
        <v>999395850272</v>
      </c>
      <c r="E49" s="30" t="s">
        <v>98</v>
      </c>
      <c r="F49" s="46">
        <v>1883</v>
      </c>
      <c r="G49" s="46">
        <v>1386</v>
      </c>
      <c r="H49" s="74">
        <v>3885</v>
      </c>
      <c r="I49" s="51">
        <f t="shared" si="0"/>
        <v>7154</v>
      </c>
    </row>
    <row r="50" spans="1:9" ht="21" customHeight="1">
      <c r="A50" s="60"/>
      <c r="B50" s="26" t="s">
        <v>99</v>
      </c>
      <c r="C50" s="93"/>
      <c r="D50" s="61">
        <v>999395869847</v>
      </c>
      <c r="E50" s="30" t="s">
        <v>100</v>
      </c>
      <c r="F50" s="46">
        <v>873</v>
      </c>
      <c r="G50" s="46">
        <v>2305</v>
      </c>
      <c r="H50" s="74">
        <v>0</v>
      </c>
      <c r="I50" s="51">
        <f t="shared" si="0"/>
        <v>3178</v>
      </c>
    </row>
    <row r="51" spans="1:9" ht="21" customHeight="1">
      <c r="A51" s="60"/>
      <c r="B51" s="26" t="s">
        <v>101</v>
      </c>
      <c r="C51" s="26" t="s">
        <v>371</v>
      </c>
      <c r="D51" s="12">
        <v>83007836944</v>
      </c>
      <c r="E51" s="30" t="s">
        <v>102</v>
      </c>
      <c r="F51" s="46">
        <f>921/2</f>
        <v>460.5</v>
      </c>
      <c r="G51" s="46">
        <v>0</v>
      </c>
      <c r="H51" s="74">
        <v>0</v>
      </c>
      <c r="I51" s="51">
        <f t="shared" si="0"/>
        <v>460.5</v>
      </c>
    </row>
    <row r="52" spans="1:9" ht="21" customHeight="1">
      <c r="A52" s="60"/>
      <c r="B52" s="26" t="s">
        <v>103</v>
      </c>
      <c r="C52" s="26" t="s">
        <v>286</v>
      </c>
      <c r="D52" s="61">
        <v>999418107083</v>
      </c>
      <c r="E52" s="30" t="s">
        <v>104</v>
      </c>
      <c r="F52" s="46">
        <f>18134/2</f>
        <v>9067</v>
      </c>
      <c r="G52" s="46">
        <v>0</v>
      </c>
      <c r="H52" s="74">
        <v>0</v>
      </c>
      <c r="I52" s="51">
        <f t="shared" si="0"/>
        <v>9067</v>
      </c>
    </row>
    <row r="53" spans="1:9" ht="21" customHeight="1">
      <c r="A53" s="60"/>
      <c r="B53" s="26" t="s">
        <v>105</v>
      </c>
      <c r="C53" s="26" t="s">
        <v>332</v>
      </c>
      <c r="D53" s="61">
        <v>999418108530</v>
      </c>
      <c r="E53" s="30" t="s">
        <v>106</v>
      </c>
      <c r="F53" s="46">
        <v>474</v>
      </c>
      <c r="G53" s="46">
        <v>828</v>
      </c>
      <c r="H53" s="74">
        <v>251</v>
      </c>
      <c r="I53" s="51">
        <f t="shared" si="0"/>
        <v>1553</v>
      </c>
    </row>
    <row r="54" spans="1:9" ht="21" customHeight="1">
      <c r="A54" s="60"/>
      <c r="B54" s="26" t="s">
        <v>107</v>
      </c>
      <c r="C54" s="26" t="s">
        <v>302</v>
      </c>
      <c r="D54" s="61">
        <v>999444028261</v>
      </c>
      <c r="E54" s="30" t="s">
        <v>108</v>
      </c>
      <c r="F54" s="46">
        <v>17</v>
      </c>
      <c r="G54" s="46">
        <v>44</v>
      </c>
      <c r="H54" s="74">
        <v>28</v>
      </c>
      <c r="I54" s="51">
        <f t="shared" si="0"/>
        <v>89</v>
      </c>
    </row>
    <row r="55" spans="1:9" ht="21" customHeight="1">
      <c r="A55" s="60"/>
      <c r="B55" s="26" t="s">
        <v>109</v>
      </c>
      <c r="C55" s="26" t="s">
        <v>313</v>
      </c>
      <c r="D55" s="12">
        <v>83000769293</v>
      </c>
      <c r="E55" s="30" t="s">
        <v>110</v>
      </c>
      <c r="F55" s="46">
        <v>489</v>
      </c>
      <c r="G55" s="46">
        <v>623</v>
      </c>
      <c r="H55" s="74">
        <v>90</v>
      </c>
      <c r="I55" s="51">
        <f t="shared" si="0"/>
        <v>1202</v>
      </c>
    </row>
    <row r="56" spans="1:9" s="19" customFormat="1" ht="21" customHeight="1">
      <c r="A56" s="60"/>
      <c r="B56" s="35" t="s">
        <v>125</v>
      </c>
      <c r="C56" s="94"/>
      <c r="D56" s="36">
        <v>60006203645</v>
      </c>
      <c r="E56" s="37" t="s">
        <v>126</v>
      </c>
      <c r="F56" s="48">
        <v>164</v>
      </c>
      <c r="G56" s="46">
        <v>0</v>
      </c>
      <c r="H56" s="48">
        <v>0</v>
      </c>
      <c r="I56" s="51">
        <f t="shared" si="0"/>
        <v>164</v>
      </c>
    </row>
    <row r="57" spans="1:9" s="29" customFormat="1" ht="21" customHeight="1">
      <c r="A57" s="60"/>
      <c r="B57" s="26" t="s">
        <v>127</v>
      </c>
      <c r="C57" s="93"/>
      <c r="D57" s="12">
        <v>60007966411</v>
      </c>
      <c r="E57" s="30" t="s">
        <v>128</v>
      </c>
      <c r="F57" s="46">
        <v>453</v>
      </c>
      <c r="G57" s="46">
        <v>0</v>
      </c>
      <c r="H57" s="74">
        <v>0</v>
      </c>
      <c r="I57" s="51">
        <f t="shared" si="0"/>
        <v>453</v>
      </c>
    </row>
    <row r="58" spans="1:9" ht="21" customHeight="1">
      <c r="A58" s="60"/>
      <c r="B58" s="26" t="s">
        <v>129</v>
      </c>
      <c r="C58" s="26" t="s">
        <v>289</v>
      </c>
      <c r="D58" s="12">
        <v>60006643135</v>
      </c>
      <c r="E58" s="30" t="s">
        <v>130</v>
      </c>
      <c r="F58" s="46">
        <f>699/2</f>
        <v>349.5</v>
      </c>
      <c r="G58" s="46">
        <v>0</v>
      </c>
      <c r="H58" s="74">
        <v>0</v>
      </c>
      <c r="I58" s="51">
        <f t="shared" si="0"/>
        <v>349.5</v>
      </c>
    </row>
    <row r="59" spans="1:9" ht="21" customHeight="1">
      <c r="A59" s="60"/>
      <c r="B59" s="26" t="s">
        <v>131</v>
      </c>
      <c r="C59" s="93"/>
      <c r="D59" s="12">
        <v>60007843244</v>
      </c>
      <c r="E59" s="30" t="s">
        <v>132</v>
      </c>
      <c r="F59" s="46">
        <f>553/2</f>
        <v>276.5</v>
      </c>
      <c r="G59" s="46">
        <v>0</v>
      </c>
      <c r="H59" s="74">
        <v>0</v>
      </c>
      <c r="I59" s="51">
        <f t="shared" si="0"/>
        <v>276.5</v>
      </c>
    </row>
    <row r="60" spans="1:9" ht="21" customHeight="1">
      <c r="A60" s="60"/>
      <c r="B60" s="26" t="s">
        <v>133</v>
      </c>
      <c r="C60" s="26" t="s">
        <v>322</v>
      </c>
      <c r="D60" s="12">
        <v>60007843069</v>
      </c>
      <c r="E60" s="30" t="s">
        <v>134</v>
      </c>
      <c r="F60" s="46">
        <f>820/2</f>
        <v>410</v>
      </c>
      <c r="G60" s="46">
        <v>0</v>
      </c>
      <c r="H60" s="74">
        <v>0</v>
      </c>
      <c r="I60" s="51">
        <f aca="true" t="shared" si="1" ref="I60:I120">F60+G60+H60</f>
        <v>410</v>
      </c>
    </row>
    <row r="61" spans="1:9" ht="21" customHeight="1">
      <c r="A61" s="60"/>
      <c r="B61" s="26" t="s">
        <v>135</v>
      </c>
      <c r="C61" s="26" t="s">
        <v>353</v>
      </c>
      <c r="D61" s="12">
        <v>60007843073</v>
      </c>
      <c r="E61" s="30" t="s">
        <v>136</v>
      </c>
      <c r="F61" s="46">
        <f>525/2</f>
        <v>262.5</v>
      </c>
      <c r="G61" s="46">
        <v>0</v>
      </c>
      <c r="H61" s="74">
        <v>0</v>
      </c>
      <c r="I61" s="51">
        <f t="shared" si="1"/>
        <v>262.5</v>
      </c>
    </row>
    <row r="62" spans="1:9" ht="21" customHeight="1">
      <c r="A62" s="60"/>
      <c r="B62" s="26" t="s">
        <v>137</v>
      </c>
      <c r="C62" s="93"/>
      <c r="D62" s="12">
        <v>60007843356</v>
      </c>
      <c r="E62" s="30" t="s">
        <v>138</v>
      </c>
      <c r="F62" s="46">
        <f>110/2</f>
        <v>55</v>
      </c>
      <c r="G62" s="46">
        <v>0</v>
      </c>
      <c r="H62" s="74">
        <v>0</v>
      </c>
      <c r="I62" s="51">
        <f t="shared" si="1"/>
        <v>55</v>
      </c>
    </row>
    <row r="63" spans="1:9" ht="21" customHeight="1">
      <c r="A63" s="60"/>
      <c r="B63" s="26" t="s">
        <v>139</v>
      </c>
      <c r="C63" s="93"/>
      <c r="D63" s="12">
        <v>60007847274</v>
      </c>
      <c r="E63" s="30" t="s">
        <v>140</v>
      </c>
      <c r="F63" s="46">
        <f>257/2</f>
        <v>128.5</v>
      </c>
      <c r="G63" s="46">
        <v>0</v>
      </c>
      <c r="H63" s="74">
        <v>0</v>
      </c>
      <c r="I63" s="51">
        <f t="shared" si="1"/>
        <v>128.5</v>
      </c>
    </row>
    <row r="64" spans="1:9" ht="21" customHeight="1">
      <c r="A64" s="60"/>
      <c r="B64" s="26" t="s">
        <v>141</v>
      </c>
      <c r="C64" s="93"/>
      <c r="D64" s="12">
        <v>60007847482</v>
      </c>
      <c r="E64" s="30" t="s">
        <v>142</v>
      </c>
      <c r="F64" s="46">
        <v>509</v>
      </c>
      <c r="G64" s="46">
        <v>0</v>
      </c>
      <c r="H64" s="74">
        <v>0</v>
      </c>
      <c r="I64" s="51">
        <f t="shared" si="1"/>
        <v>509</v>
      </c>
    </row>
    <row r="65" spans="1:9" ht="21" customHeight="1">
      <c r="A65" s="60"/>
      <c r="B65" s="26" t="s">
        <v>143</v>
      </c>
      <c r="C65" s="26" t="s">
        <v>323</v>
      </c>
      <c r="D65" s="12">
        <v>60007858040</v>
      </c>
      <c r="E65" s="78" t="s">
        <v>144</v>
      </c>
      <c r="F65" s="46">
        <v>164</v>
      </c>
      <c r="G65" s="46">
        <v>0</v>
      </c>
      <c r="H65" s="74">
        <v>0</v>
      </c>
      <c r="I65" s="51">
        <f t="shared" si="1"/>
        <v>164</v>
      </c>
    </row>
    <row r="66" spans="1:9" ht="21" customHeight="1">
      <c r="A66" s="60"/>
      <c r="B66" s="43" t="s">
        <v>145</v>
      </c>
      <c r="C66" s="43" t="s">
        <v>358</v>
      </c>
      <c r="D66" s="44">
        <v>60007889355</v>
      </c>
      <c r="E66" s="37" t="s">
        <v>146</v>
      </c>
      <c r="F66" s="46">
        <f>302/2</f>
        <v>151</v>
      </c>
      <c r="G66" s="46">
        <v>0</v>
      </c>
      <c r="H66" s="74">
        <v>0</v>
      </c>
      <c r="I66" s="51">
        <f t="shared" si="1"/>
        <v>151</v>
      </c>
    </row>
    <row r="67" spans="1:9" ht="21" customHeight="1">
      <c r="A67" s="60"/>
      <c r="B67" s="41" t="s">
        <v>147</v>
      </c>
      <c r="C67" s="41" t="s">
        <v>311</v>
      </c>
      <c r="D67" s="40">
        <v>60007899611</v>
      </c>
      <c r="E67" s="42" t="s">
        <v>148</v>
      </c>
      <c r="F67" s="47">
        <v>706</v>
      </c>
      <c r="G67" s="47">
        <v>0</v>
      </c>
      <c r="H67" s="75">
        <v>0</v>
      </c>
      <c r="I67" s="51">
        <f t="shared" si="1"/>
        <v>706</v>
      </c>
    </row>
    <row r="68" spans="1:9" ht="21" customHeight="1">
      <c r="A68" s="60"/>
      <c r="B68" s="26" t="s">
        <v>149</v>
      </c>
      <c r="C68" s="93"/>
      <c r="D68" s="12">
        <v>60008073286</v>
      </c>
      <c r="E68" s="30" t="s">
        <v>150</v>
      </c>
      <c r="F68" s="46">
        <f>10/2</f>
        <v>5</v>
      </c>
      <c r="G68" s="46">
        <v>0</v>
      </c>
      <c r="H68" s="74">
        <v>0</v>
      </c>
      <c r="I68" s="51">
        <f t="shared" si="1"/>
        <v>5</v>
      </c>
    </row>
    <row r="69" spans="1:9" s="29" customFormat="1" ht="21" customHeight="1">
      <c r="A69" s="60"/>
      <c r="B69" s="26" t="s">
        <v>151</v>
      </c>
      <c r="C69" s="26"/>
      <c r="D69" s="12">
        <v>60008101006</v>
      </c>
      <c r="E69" s="30" t="s">
        <v>152</v>
      </c>
      <c r="F69" s="46">
        <v>4</v>
      </c>
      <c r="G69" s="46">
        <v>0</v>
      </c>
      <c r="H69" s="74">
        <v>0</v>
      </c>
      <c r="I69" s="51">
        <f t="shared" si="1"/>
        <v>4</v>
      </c>
    </row>
    <row r="70" spans="1:9" s="29" customFormat="1" ht="21" customHeight="1">
      <c r="A70" s="60"/>
      <c r="B70" s="26" t="s">
        <v>153</v>
      </c>
      <c r="C70" s="26" t="s">
        <v>359</v>
      </c>
      <c r="D70" s="12">
        <v>60008115357</v>
      </c>
      <c r="E70" s="30" t="s">
        <v>154</v>
      </c>
      <c r="F70" s="46">
        <v>459</v>
      </c>
      <c r="G70" s="46">
        <v>0</v>
      </c>
      <c r="H70" s="74">
        <v>0</v>
      </c>
      <c r="I70" s="51">
        <f t="shared" si="1"/>
        <v>459</v>
      </c>
    </row>
    <row r="71" spans="1:9" s="20" customFormat="1" ht="21" customHeight="1">
      <c r="A71" s="60"/>
      <c r="B71" s="26" t="s">
        <v>155</v>
      </c>
      <c r="C71" s="26" t="s">
        <v>312</v>
      </c>
      <c r="D71" s="12">
        <v>60008450632</v>
      </c>
      <c r="E71" s="30" t="s">
        <v>156</v>
      </c>
      <c r="F71" s="46">
        <v>63</v>
      </c>
      <c r="G71" s="46">
        <v>0</v>
      </c>
      <c r="H71" s="74">
        <v>0</v>
      </c>
      <c r="I71" s="51">
        <f t="shared" si="1"/>
        <v>63</v>
      </c>
    </row>
    <row r="72" spans="1:9" ht="21" customHeight="1">
      <c r="A72" s="60"/>
      <c r="B72" s="26" t="s">
        <v>157</v>
      </c>
      <c r="C72" s="26" t="s">
        <v>360</v>
      </c>
      <c r="D72" s="12">
        <v>60008427213</v>
      </c>
      <c r="E72" s="30" t="s">
        <v>158</v>
      </c>
      <c r="F72" s="46">
        <f>114/2</f>
        <v>57</v>
      </c>
      <c r="G72" s="46">
        <v>0</v>
      </c>
      <c r="H72" s="74">
        <v>0</v>
      </c>
      <c r="I72" s="51">
        <f t="shared" si="1"/>
        <v>57</v>
      </c>
    </row>
    <row r="73" spans="1:9" ht="21" customHeight="1">
      <c r="A73" s="60"/>
      <c r="B73" s="26" t="s">
        <v>159</v>
      </c>
      <c r="C73" s="26" t="s">
        <v>361</v>
      </c>
      <c r="D73" s="12">
        <v>60008475541</v>
      </c>
      <c r="E73" s="30" t="s">
        <v>160</v>
      </c>
      <c r="F73" s="46">
        <f>839/2</f>
        <v>419.5</v>
      </c>
      <c r="G73" s="46">
        <v>0</v>
      </c>
      <c r="H73" s="74">
        <v>0</v>
      </c>
      <c r="I73" s="51">
        <f t="shared" si="1"/>
        <v>419.5</v>
      </c>
    </row>
    <row r="74" spans="1:9" ht="21" customHeight="1">
      <c r="A74" s="60"/>
      <c r="B74" s="26" t="s">
        <v>161</v>
      </c>
      <c r="C74" s="93"/>
      <c r="D74" s="12">
        <v>60008368817</v>
      </c>
      <c r="E74" s="30" t="s">
        <v>162</v>
      </c>
      <c r="F74" s="46">
        <v>121</v>
      </c>
      <c r="G74" s="46">
        <v>0</v>
      </c>
      <c r="H74" s="74">
        <v>0</v>
      </c>
      <c r="I74" s="51">
        <f t="shared" si="1"/>
        <v>121</v>
      </c>
    </row>
    <row r="75" spans="1:9" ht="21" customHeight="1">
      <c r="A75" s="60"/>
      <c r="B75" s="26" t="s">
        <v>163</v>
      </c>
      <c r="C75" s="26" t="s">
        <v>372</v>
      </c>
      <c r="D75" s="12">
        <v>60091069643</v>
      </c>
      <c r="E75" s="30" t="s">
        <v>164</v>
      </c>
      <c r="F75" s="46">
        <v>0</v>
      </c>
      <c r="G75" s="46">
        <v>0</v>
      </c>
      <c r="H75" s="74">
        <v>0</v>
      </c>
      <c r="I75" s="51">
        <f t="shared" si="1"/>
        <v>0</v>
      </c>
    </row>
    <row r="76" spans="1:9" ht="21" customHeight="1">
      <c r="A76" s="60"/>
      <c r="B76" s="26" t="s">
        <v>165</v>
      </c>
      <c r="C76" s="26" t="s">
        <v>363</v>
      </c>
      <c r="D76" s="12">
        <v>60089709450</v>
      </c>
      <c r="E76" s="30" t="s">
        <v>166</v>
      </c>
      <c r="F76" s="46">
        <v>122</v>
      </c>
      <c r="G76" s="46">
        <v>0</v>
      </c>
      <c r="H76" s="74">
        <v>0</v>
      </c>
      <c r="I76" s="51">
        <f t="shared" si="1"/>
        <v>122</v>
      </c>
    </row>
    <row r="77" spans="1:9" ht="21" customHeight="1">
      <c r="A77" s="60"/>
      <c r="B77" s="26" t="s">
        <v>167</v>
      </c>
      <c r="C77" s="26" t="s">
        <v>362</v>
      </c>
      <c r="D77" s="12">
        <v>60089553056</v>
      </c>
      <c r="E77" s="30" t="s">
        <v>168</v>
      </c>
      <c r="F77" s="46">
        <f>3386/2</f>
        <v>1693</v>
      </c>
      <c r="G77" s="46">
        <v>0</v>
      </c>
      <c r="H77" s="74">
        <v>0</v>
      </c>
      <c r="I77" s="51">
        <f t="shared" si="1"/>
        <v>1693</v>
      </c>
    </row>
    <row r="78" spans="1:9" ht="21" customHeight="1">
      <c r="A78" s="60"/>
      <c r="B78" s="26" t="s">
        <v>169</v>
      </c>
      <c r="C78" s="26" t="s">
        <v>364</v>
      </c>
      <c r="D78" s="17">
        <v>60090692774</v>
      </c>
      <c r="E78" s="31" t="s">
        <v>170</v>
      </c>
      <c r="F78" s="46">
        <v>2</v>
      </c>
      <c r="G78" s="46">
        <v>0</v>
      </c>
      <c r="H78" s="74">
        <v>0</v>
      </c>
      <c r="I78" s="51">
        <f t="shared" si="1"/>
        <v>2</v>
      </c>
    </row>
    <row r="79" spans="1:9" ht="21" customHeight="1">
      <c r="A79" s="60"/>
      <c r="B79" s="26" t="s">
        <v>171</v>
      </c>
      <c r="C79" s="93"/>
      <c r="D79" s="12">
        <v>60006579681</v>
      </c>
      <c r="E79" s="30" t="s">
        <v>172</v>
      </c>
      <c r="F79" s="46">
        <v>42</v>
      </c>
      <c r="G79" s="46">
        <v>0</v>
      </c>
      <c r="H79" s="74">
        <v>0</v>
      </c>
      <c r="I79" s="51">
        <f t="shared" si="1"/>
        <v>42</v>
      </c>
    </row>
    <row r="80" spans="1:9" ht="21" customHeight="1">
      <c r="A80" s="60"/>
      <c r="B80" s="26" t="s">
        <v>173</v>
      </c>
      <c r="C80" s="26" t="s">
        <v>333</v>
      </c>
      <c r="D80" s="12">
        <v>60006586696</v>
      </c>
      <c r="E80" s="30" t="s">
        <v>174</v>
      </c>
      <c r="F80" s="46">
        <f>1365/2</f>
        <v>682.5</v>
      </c>
      <c r="G80" s="46">
        <v>0</v>
      </c>
      <c r="H80" s="74">
        <v>0</v>
      </c>
      <c r="I80" s="51">
        <f t="shared" si="1"/>
        <v>682.5</v>
      </c>
    </row>
    <row r="81" spans="1:9" s="29" customFormat="1" ht="21" customHeight="1">
      <c r="A81" s="60"/>
      <c r="B81" s="26" t="s">
        <v>175</v>
      </c>
      <c r="C81" s="93"/>
      <c r="D81" s="17">
        <v>60006586704</v>
      </c>
      <c r="E81" s="31" t="s">
        <v>176</v>
      </c>
      <c r="F81" s="46">
        <f>146/2</f>
        <v>73</v>
      </c>
      <c r="G81" s="46">
        <v>0</v>
      </c>
      <c r="H81" s="74">
        <v>0</v>
      </c>
      <c r="I81" s="51">
        <f t="shared" si="1"/>
        <v>73</v>
      </c>
    </row>
    <row r="82" spans="1:9" ht="21" customHeight="1">
      <c r="A82" s="60"/>
      <c r="B82" s="26" t="s">
        <v>177</v>
      </c>
      <c r="C82" s="26" t="s">
        <v>370</v>
      </c>
      <c r="D82" s="12">
        <v>60006587652</v>
      </c>
      <c r="E82" s="33" t="s">
        <v>178</v>
      </c>
      <c r="F82" s="47">
        <f>901/2</f>
        <v>450.5</v>
      </c>
      <c r="G82" s="47">
        <v>0</v>
      </c>
      <c r="H82" s="75">
        <v>0</v>
      </c>
      <c r="I82" s="51">
        <f t="shared" si="1"/>
        <v>450.5</v>
      </c>
    </row>
    <row r="83" spans="1:9" s="20" customFormat="1" ht="21" customHeight="1">
      <c r="A83" s="60"/>
      <c r="B83" s="26" t="s">
        <v>179</v>
      </c>
      <c r="C83" s="26" t="s">
        <v>334</v>
      </c>
      <c r="D83" s="12">
        <v>60006587671</v>
      </c>
      <c r="E83" s="30" t="s">
        <v>180</v>
      </c>
      <c r="F83" s="49">
        <f>827/2</f>
        <v>413.5</v>
      </c>
      <c r="G83" s="49">
        <v>0</v>
      </c>
      <c r="H83" s="76">
        <v>0</v>
      </c>
      <c r="I83" s="51">
        <f t="shared" si="1"/>
        <v>413.5</v>
      </c>
    </row>
    <row r="84" spans="1:9" ht="21" customHeight="1">
      <c r="A84" s="60"/>
      <c r="B84" s="26" t="s">
        <v>181</v>
      </c>
      <c r="C84" s="26" t="s">
        <v>335</v>
      </c>
      <c r="D84" s="12">
        <v>60006593566</v>
      </c>
      <c r="E84" s="30" t="s">
        <v>182</v>
      </c>
      <c r="F84" s="46">
        <f>747/2</f>
        <v>373.5</v>
      </c>
      <c r="G84" s="46">
        <v>0</v>
      </c>
      <c r="H84" s="74">
        <v>0</v>
      </c>
      <c r="I84" s="51">
        <f t="shared" si="1"/>
        <v>373.5</v>
      </c>
    </row>
    <row r="85" spans="1:9" ht="21" customHeight="1">
      <c r="A85" s="60"/>
      <c r="B85" s="26" t="s">
        <v>183</v>
      </c>
      <c r="C85" s="26" t="s">
        <v>336</v>
      </c>
      <c r="D85" s="12">
        <v>60006601563</v>
      </c>
      <c r="E85" s="30" t="s">
        <v>184</v>
      </c>
      <c r="F85" s="46">
        <f>1009/2</f>
        <v>504.5</v>
      </c>
      <c r="G85" s="46">
        <v>0</v>
      </c>
      <c r="H85" s="74">
        <v>0</v>
      </c>
      <c r="I85" s="51">
        <f t="shared" si="1"/>
        <v>504.5</v>
      </c>
    </row>
    <row r="86" spans="1:9" ht="21" customHeight="1">
      <c r="A86" s="60"/>
      <c r="B86" s="26" t="s">
        <v>185</v>
      </c>
      <c r="C86" s="26" t="s">
        <v>310</v>
      </c>
      <c r="D86" s="12">
        <v>60006630551</v>
      </c>
      <c r="E86" s="30" t="s">
        <v>186</v>
      </c>
      <c r="F86" s="46">
        <f>1235/2</f>
        <v>617.5</v>
      </c>
      <c r="G86" s="46">
        <v>0</v>
      </c>
      <c r="H86" s="74">
        <v>0</v>
      </c>
      <c r="I86" s="51">
        <f t="shared" si="1"/>
        <v>617.5</v>
      </c>
    </row>
    <row r="87" spans="1:9" s="20" customFormat="1" ht="21" customHeight="1">
      <c r="A87" s="60"/>
      <c r="B87" s="26" t="s">
        <v>187</v>
      </c>
      <c r="C87" s="26" t="s">
        <v>287</v>
      </c>
      <c r="D87" s="12">
        <v>60006631759</v>
      </c>
      <c r="E87" s="30" t="s">
        <v>188</v>
      </c>
      <c r="F87" s="46">
        <f>756/2</f>
        <v>378</v>
      </c>
      <c r="G87" s="46">
        <v>0</v>
      </c>
      <c r="H87" s="74">
        <v>0</v>
      </c>
      <c r="I87" s="51">
        <f t="shared" si="1"/>
        <v>378</v>
      </c>
    </row>
    <row r="88" spans="1:9" s="29" customFormat="1" ht="21" customHeight="1">
      <c r="A88" s="60"/>
      <c r="B88" s="26" t="s">
        <v>189</v>
      </c>
      <c r="C88" s="26" t="s">
        <v>339</v>
      </c>
      <c r="D88" s="12">
        <v>60006631974</v>
      </c>
      <c r="E88" s="30" t="s">
        <v>190</v>
      </c>
      <c r="F88" s="46">
        <v>952</v>
      </c>
      <c r="G88" s="46">
        <v>0</v>
      </c>
      <c r="H88" s="74">
        <v>0</v>
      </c>
      <c r="I88" s="51">
        <f t="shared" si="1"/>
        <v>952</v>
      </c>
    </row>
    <row r="89" spans="1:9" ht="21" customHeight="1">
      <c r="A89" s="60"/>
      <c r="B89" s="26" t="s">
        <v>191</v>
      </c>
      <c r="C89" s="26" t="s">
        <v>356</v>
      </c>
      <c r="D89" s="12">
        <v>60007843337</v>
      </c>
      <c r="E89" s="30" t="s">
        <v>192</v>
      </c>
      <c r="F89" s="46">
        <f>1138/2</f>
        <v>569</v>
      </c>
      <c r="G89" s="46">
        <v>0</v>
      </c>
      <c r="H89" s="74">
        <v>0</v>
      </c>
      <c r="I89" s="51">
        <f t="shared" si="1"/>
        <v>569</v>
      </c>
    </row>
    <row r="90" spans="1:9" ht="21" customHeight="1">
      <c r="A90" s="60"/>
      <c r="B90" s="26" t="s">
        <v>193</v>
      </c>
      <c r="C90" s="26" t="s">
        <v>305</v>
      </c>
      <c r="D90" s="12">
        <v>60006631992</v>
      </c>
      <c r="E90" s="30" t="s">
        <v>194</v>
      </c>
      <c r="F90" s="46">
        <v>1714</v>
      </c>
      <c r="G90" s="46">
        <v>0</v>
      </c>
      <c r="H90" s="74">
        <v>0</v>
      </c>
      <c r="I90" s="51">
        <f t="shared" si="1"/>
        <v>1714</v>
      </c>
    </row>
    <row r="91" spans="1:9" ht="21" customHeight="1">
      <c r="A91" s="60"/>
      <c r="B91" s="26" t="s">
        <v>195</v>
      </c>
      <c r="C91" s="26" t="s">
        <v>341</v>
      </c>
      <c r="D91" s="12">
        <v>60006632013</v>
      </c>
      <c r="E91" s="30" t="s">
        <v>196</v>
      </c>
      <c r="F91" s="46">
        <f>121/2</f>
        <v>60.5</v>
      </c>
      <c r="G91" s="46">
        <v>0</v>
      </c>
      <c r="H91" s="74">
        <v>0</v>
      </c>
      <c r="I91" s="51">
        <f t="shared" si="1"/>
        <v>60.5</v>
      </c>
    </row>
    <row r="92" spans="1:9" ht="21" customHeight="1">
      <c r="A92" s="60"/>
      <c r="B92" s="26" t="s">
        <v>197</v>
      </c>
      <c r="C92" s="26" t="s">
        <v>288</v>
      </c>
      <c r="D92" s="12">
        <v>60006632028</v>
      </c>
      <c r="E92" s="30" t="s">
        <v>198</v>
      </c>
      <c r="F92" s="46">
        <f>4321/2</f>
        <v>2160.5</v>
      </c>
      <c r="G92" s="46">
        <v>0</v>
      </c>
      <c r="H92" s="74">
        <v>0</v>
      </c>
      <c r="I92" s="51">
        <f t="shared" si="1"/>
        <v>2160.5</v>
      </c>
    </row>
    <row r="93" spans="1:9" ht="21" customHeight="1">
      <c r="A93" s="60"/>
      <c r="B93" s="26" t="s">
        <v>199</v>
      </c>
      <c r="C93" s="26" t="s">
        <v>342</v>
      </c>
      <c r="D93" s="12">
        <v>60006632034</v>
      </c>
      <c r="E93" s="30" t="s">
        <v>200</v>
      </c>
      <c r="F93" s="46">
        <v>146</v>
      </c>
      <c r="G93" s="46">
        <v>0</v>
      </c>
      <c r="H93" s="74">
        <v>0</v>
      </c>
      <c r="I93" s="51">
        <f t="shared" si="1"/>
        <v>146</v>
      </c>
    </row>
    <row r="94" spans="1:9" ht="21" customHeight="1">
      <c r="A94" s="60"/>
      <c r="B94" s="26" t="s">
        <v>201</v>
      </c>
      <c r="C94" s="26" t="s">
        <v>343</v>
      </c>
      <c r="D94" s="12">
        <v>60006637176</v>
      </c>
      <c r="E94" s="30" t="s">
        <v>202</v>
      </c>
      <c r="F94" s="46">
        <f>586/3</f>
        <v>195.33333333333334</v>
      </c>
      <c r="G94" s="46">
        <v>0</v>
      </c>
      <c r="H94" s="74">
        <v>0</v>
      </c>
      <c r="I94" s="51">
        <f t="shared" si="1"/>
        <v>195.33333333333334</v>
      </c>
    </row>
    <row r="95" spans="1:9" ht="21" customHeight="1">
      <c r="A95" s="60"/>
      <c r="B95" s="26" t="s">
        <v>203</v>
      </c>
      <c r="C95" s="93"/>
      <c r="D95" s="12">
        <v>60006637235</v>
      </c>
      <c r="E95" s="30" t="s">
        <v>204</v>
      </c>
      <c r="F95" s="46">
        <f>142/2</f>
        <v>71</v>
      </c>
      <c r="G95" s="46">
        <v>0</v>
      </c>
      <c r="H95" s="74">
        <v>0</v>
      </c>
      <c r="I95" s="51">
        <f t="shared" si="1"/>
        <v>71</v>
      </c>
    </row>
    <row r="96" spans="1:9" ht="21" customHeight="1">
      <c r="A96" s="60"/>
      <c r="B96" s="26" t="s">
        <v>205</v>
      </c>
      <c r="C96" s="26" t="s">
        <v>306</v>
      </c>
      <c r="D96" s="12">
        <v>60006637714</v>
      </c>
      <c r="E96" s="30" t="s">
        <v>206</v>
      </c>
      <c r="F96" s="46">
        <f>226/2</f>
        <v>113</v>
      </c>
      <c r="G96" s="46">
        <v>0</v>
      </c>
      <c r="H96" s="74">
        <v>0</v>
      </c>
      <c r="I96" s="51">
        <f t="shared" si="1"/>
        <v>113</v>
      </c>
    </row>
    <row r="97" spans="1:9" ht="21" customHeight="1">
      <c r="A97" s="60"/>
      <c r="B97" s="26" t="s">
        <v>207</v>
      </c>
      <c r="C97" s="93"/>
      <c r="D97" s="12">
        <v>60006642108</v>
      </c>
      <c r="E97" s="30" t="s">
        <v>208</v>
      </c>
      <c r="F97" s="46">
        <f>142/2</f>
        <v>71</v>
      </c>
      <c r="G97" s="46">
        <v>0</v>
      </c>
      <c r="H97" s="74">
        <v>0</v>
      </c>
      <c r="I97" s="51">
        <f t="shared" si="1"/>
        <v>71</v>
      </c>
    </row>
    <row r="98" spans="1:9" ht="21" customHeight="1">
      <c r="A98" s="60"/>
      <c r="B98" s="26" t="s">
        <v>209</v>
      </c>
      <c r="C98" s="93"/>
      <c r="D98" s="12">
        <v>60006642114</v>
      </c>
      <c r="E98" s="30" t="s">
        <v>210</v>
      </c>
      <c r="F98" s="46">
        <f>142/2</f>
        <v>71</v>
      </c>
      <c r="G98" s="46">
        <v>0</v>
      </c>
      <c r="H98" s="74">
        <v>0</v>
      </c>
      <c r="I98" s="51">
        <f t="shared" si="1"/>
        <v>71</v>
      </c>
    </row>
    <row r="99" spans="1:9" ht="21" customHeight="1">
      <c r="A99" s="60"/>
      <c r="B99" s="26" t="s">
        <v>211</v>
      </c>
      <c r="C99" s="26" t="s">
        <v>290</v>
      </c>
      <c r="D99" s="12">
        <v>60006644426</v>
      </c>
      <c r="E99" s="30" t="s">
        <v>212</v>
      </c>
      <c r="F99" s="46">
        <v>369</v>
      </c>
      <c r="G99" s="46">
        <v>0</v>
      </c>
      <c r="H99" s="74">
        <v>0</v>
      </c>
      <c r="I99" s="51">
        <f t="shared" si="1"/>
        <v>369</v>
      </c>
    </row>
    <row r="100" spans="1:9" ht="21" customHeight="1">
      <c r="A100" s="60"/>
      <c r="B100" s="26" t="s">
        <v>213</v>
      </c>
      <c r="C100" s="93"/>
      <c r="D100" s="12">
        <v>60006644431</v>
      </c>
      <c r="E100" s="30" t="s">
        <v>214</v>
      </c>
      <c r="F100" s="46">
        <v>487</v>
      </c>
      <c r="G100" s="46">
        <v>0</v>
      </c>
      <c r="H100" s="74">
        <v>0</v>
      </c>
      <c r="I100" s="51">
        <f t="shared" si="1"/>
        <v>487</v>
      </c>
    </row>
    <row r="101" spans="1:9" ht="21" customHeight="1">
      <c r="A101" s="60"/>
      <c r="B101" s="26" t="s">
        <v>215</v>
      </c>
      <c r="C101" s="26" t="s">
        <v>344</v>
      </c>
      <c r="D101" s="12">
        <v>60006644654</v>
      </c>
      <c r="E101" s="30" t="s">
        <v>216</v>
      </c>
      <c r="F101" s="47">
        <f>148/2</f>
        <v>74</v>
      </c>
      <c r="G101" s="47">
        <v>0</v>
      </c>
      <c r="H101" s="75">
        <v>0</v>
      </c>
      <c r="I101" s="92">
        <f t="shared" si="1"/>
        <v>74</v>
      </c>
    </row>
    <row r="102" spans="1:9" ht="21" customHeight="1">
      <c r="A102" s="60"/>
      <c r="B102" s="26" t="s">
        <v>217</v>
      </c>
      <c r="C102" s="93"/>
      <c r="D102" s="12">
        <v>60007182237</v>
      </c>
      <c r="E102" s="30" t="s">
        <v>218</v>
      </c>
      <c r="F102" s="46"/>
      <c r="G102" s="46"/>
      <c r="H102" s="74"/>
      <c r="I102" s="51">
        <f t="shared" si="1"/>
        <v>0</v>
      </c>
    </row>
    <row r="103" spans="1:9" ht="21" customHeight="1">
      <c r="A103" s="60"/>
      <c r="B103" s="26" t="s">
        <v>219</v>
      </c>
      <c r="C103" s="26" t="s">
        <v>354</v>
      </c>
      <c r="D103" s="12">
        <v>60007843211</v>
      </c>
      <c r="E103" s="30" t="s">
        <v>220</v>
      </c>
      <c r="F103" s="46">
        <v>146</v>
      </c>
      <c r="G103" s="46">
        <v>0</v>
      </c>
      <c r="H103" s="74">
        <v>0</v>
      </c>
      <c r="I103" s="51">
        <f t="shared" si="1"/>
        <v>146</v>
      </c>
    </row>
    <row r="104" spans="1:9" ht="21" customHeight="1">
      <c r="A104" s="60"/>
      <c r="B104" s="26" t="s">
        <v>221</v>
      </c>
      <c r="C104" s="26" t="s">
        <v>355</v>
      </c>
      <c r="D104" s="12">
        <v>60007843225</v>
      </c>
      <c r="E104" s="30" t="s">
        <v>222</v>
      </c>
      <c r="F104" s="46">
        <v>1</v>
      </c>
      <c r="G104" s="46">
        <v>0</v>
      </c>
      <c r="H104" s="74">
        <v>0</v>
      </c>
      <c r="I104" s="51">
        <f t="shared" si="1"/>
        <v>1</v>
      </c>
    </row>
    <row r="105" spans="1:9" ht="21" customHeight="1">
      <c r="A105" s="60"/>
      <c r="B105" s="26" t="s">
        <v>223</v>
      </c>
      <c r="C105" s="26" t="s">
        <v>347</v>
      </c>
      <c r="D105" s="12">
        <v>60007211343</v>
      </c>
      <c r="E105" s="30" t="s">
        <v>224</v>
      </c>
      <c r="F105" s="46">
        <v>0</v>
      </c>
      <c r="G105" s="46">
        <v>0</v>
      </c>
      <c r="H105" s="74">
        <v>0</v>
      </c>
      <c r="I105" s="51">
        <f t="shared" si="1"/>
        <v>0</v>
      </c>
    </row>
    <row r="106" spans="1:9" ht="21" customHeight="1">
      <c r="A106" s="60"/>
      <c r="B106" s="26" t="s">
        <v>225</v>
      </c>
      <c r="C106" s="26" t="s">
        <v>346</v>
      </c>
      <c r="D106" s="12">
        <v>60007211339</v>
      </c>
      <c r="E106" s="30" t="s">
        <v>226</v>
      </c>
      <c r="F106" s="46">
        <f>299/2</f>
        <v>149.5</v>
      </c>
      <c r="G106" s="46">
        <v>0</v>
      </c>
      <c r="H106" s="74">
        <v>0</v>
      </c>
      <c r="I106" s="51">
        <f t="shared" si="1"/>
        <v>149.5</v>
      </c>
    </row>
    <row r="107" spans="1:9" ht="21" customHeight="1">
      <c r="A107" s="60"/>
      <c r="B107" s="26" t="s">
        <v>227</v>
      </c>
      <c r="C107" s="26" t="s">
        <v>291</v>
      </c>
      <c r="D107" s="12">
        <v>60007239731</v>
      </c>
      <c r="E107" s="30" t="s">
        <v>228</v>
      </c>
      <c r="F107" s="46">
        <f>1873/2</f>
        <v>936.5</v>
      </c>
      <c r="G107" s="46">
        <v>0</v>
      </c>
      <c r="H107" s="74">
        <v>0</v>
      </c>
      <c r="I107" s="51">
        <f t="shared" si="1"/>
        <v>936.5</v>
      </c>
    </row>
    <row r="108" spans="1:9" ht="21" customHeight="1">
      <c r="A108" s="60"/>
      <c r="B108" s="26" t="s">
        <v>229</v>
      </c>
      <c r="C108" s="26" t="s">
        <v>348</v>
      </c>
      <c r="D108" s="12">
        <v>60007483419</v>
      </c>
      <c r="E108" s="30" t="s">
        <v>230</v>
      </c>
      <c r="F108" s="46">
        <f>894/2</f>
        <v>447</v>
      </c>
      <c r="G108" s="46">
        <v>0</v>
      </c>
      <c r="H108" s="74">
        <v>0</v>
      </c>
      <c r="I108" s="51">
        <f t="shared" si="1"/>
        <v>447</v>
      </c>
    </row>
    <row r="109" spans="1:9" ht="21" customHeight="1">
      <c r="A109" s="60"/>
      <c r="B109" s="26" t="s">
        <v>231</v>
      </c>
      <c r="C109" s="26" t="s">
        <v>301</v>
      </c>
      <c r="D109" s="12">
        <v>60006579638</v>
      </c>
      <c r="E109" s="30" t="s">
        <v>232</v>
      </c>
      <c r="F109" s="46">
        <v>1</v>
      </c>
      <c r="G109" s="46">
        <v>0</v>
      </c>
      <c r="H109" s="74">
        <v>0</v>
      </c>
      <c r="I109" s="51">
        <f t="shared" si="1"/>
        <v>1</v>
      </c>
    </row>
    <row r="110" spans="1:9" ht="21" customHeight="1">
      <c r="A110" s="60"/>
      <c r="B110" s="26" t="s">
        <v>233</v>
      </c>
      <c r="C110" s="26" t="s">
        <v>349</v>
      </c>
      <c r="D110" s="12">
        <v>60006579657</v>
      </c>
      <c r="E110" s="30" t="s">
        <v>234</v>
      </c>
      <c r="F110" s="46">
        <v>668</v>
      </c>
      <c r="G110" s="46">
        <v>0</v>
      </c>
      <c r="H110" s="74">
        <v>0</v>
      </c>
      <c r="I110" s="51">
        <f t="shared" si="1"/>
        <v>668</v>
      </c>
    </row>
    <row r="111" spans="1:9" ht="21" customHeight="1">
      <c r="A111" s="60"/>
      <c r="B111" s="26" t="s">
        <v>235</v>
      </c>
      <c r="C111" s="93"/>
      <c r="D111" s="12">
        <v>60006579676</v>
      </c>
      <c r="E111" s="30" t="s">
        <v>236</v>
      </c>
      <c r="F111" s="46">
        <v>9</v>
      </c>
      <c r="G111" s="46">
        <v>0</v>
      </c>
      <c r="H111" s="74">
        <v>0</v>
      </c>
      <c r="I111" s="51">
        <f t="shared" si="1"/>
        <v>9</v>
      </c>
    </row>
    <row r="112" spans="1:9" ht="21" customHeight="1">
      <c r="A112" s="60"/>
      <c r="B112" s="26" t="s">
        <v>237</v>
      </c>
      <c r="C112" s="26" t="s">
        <v>351</v>
      </c>
      <c r="D112" s="12">
        <v>60007631681</v>
      </c>
      <c r="E112" s="30" t="s">
        <v>238</v>
      </c>
      <c r="F112" s="46">
        <v>12</v>
      </c>
      <c r="G112" s="46">
        <v>0</v>
      </c>
      <c r="H112" s="74">
        <v>0</v>
      </c>
      <c r="I112" s="51">
        <f t="shared" si="1"/>
        <v>12</v>
      </c>
    </row>
    <row r="113" spans="1:9" ht="21" customHeight="1">
      <c r="A113" s="60"/>
      <c r="B113" s="26" t="s">
        <v>239</v>
      </c>
      <c r="C113" s="26" t="s">
        <v>357</v>
      </c>
      <c r="D113" s="12">
        <v>60007848373</v>
      </c>
      <c r="E113" s="30" t="s">
        <v>240</v>
      </c>
      <c r="F113" s="46">
        <f>1898/2</f>
        <v>949</v>
      </c>
      <c r="G113" s="46">
        <v>0</v>
      </c>
      <c r="H113" s="74">
        <v>0</v>
      </c>
      <c r="I113" s="51">
        <f t="shared" si="1"/>
        <v>949</v>
      </c>
    </row>
    <row r="114" spans="1:9" ht="21" customHeight="1">
      <c r="A114" s="60"/>
      <c r="B114" s="26" t="s">
        <v>241</v>
      </c>
      <c r="C114" s="26" t="s">
        <v>338</v>
      </c>
      <c r="D114" s="12">
        <v>60006631880</v>
      </c>
      <c r="E114" s="30" t="s">
        <v>242</v>
      </c>
      <c r="F114" s="46">
        <f>378/2</f>
        <v>189</v>
      </c>
      <c r="G114" s="46">
        <v>0</v>
      </c>
      <c r="H114" s="74">
        <v>0</v>
      </c>
      <c r="I114" s="51">
        <f t="shared" si="1"/>
        <v>189</v>
      </c>
    </row>
    <row r="115" spans="1:9" ht="21" customHeight="1">
      <c r="A115" s="64"/>
      <c r="B115" s="26" t="s">
        <v>243</v>
      </c>
      <c r="C115" s="26" t="s">
        <v>320</v>
      </c>
      <c r="D115" s="12">
        <v>60006631920</v>
      </c>
      <c r="E115" s="30" t="s">
        <v>244</v>
      </c>
      <c r="F115" s="49">
        <f>1935/2</f>
        <v>967.5</v>
      </c>
      <c r="G115" s="49">
        <v>0</v>
      </c>
      <c r="H115" s="76">
        <v>0</v>
      </c>
      <c r="I115" s="51">
        <f t="shared" si="1"/>
        <v>967.5</v>
      </c>
    </row>
    <row r="116" spans="1:9" ht="21" customHeight="1">
      <c r="A116" s="64"/>
      <c r="B116" s="26" t="s">
        <v>245</v>
      </c>
      <c r="C116" s="26" t="s">
        <v>340</v>
      </c>
      <c r="D116" s="12">
        <v>60006631987</v>
      </c>
      <c r="E116" s="30" t="s">
        <v>246</v>
      </c>
      <c r="F116" s="49">
        <f>3881/2</f>
        <v>1940.5</v>
      </c>
      <c r="G116" s="49">
        <v>0</v>
      </c>
      <c r="H116" s="76">
        <v>0</v>
      </c>
      <c r="I116" s="51">
        <f t="shared" si="1"/>
        <v>1940.5</v>
      </c>
    </row>
    <row r="117" spans="1:9" ht="21" customHeight="1">
      <c r="A117" s="64"/>
      <c r="B117" s="26" t="s">
        <v>247</v>
      </c>
      <c r="C117" s="26" t="s">
        <v>373</v>
      </c>
      <c r="D117" s="12">
        <v>60006632009</v>
      </c>
      <c r="E117" s="30" t="s">
        <v>248</v>
      </c>
      <c r="F117" s="49">
        <f>4015/2</f>
        <v>2007.5</v>
      </c>
      <c r="G117" s="49">
        <v>0</v>
      </c>
      <c r="H117" s="76">
        <v>0</v>
      </c>
      <c r="I117" s="51">
        <f t="shared" si="1"/>
        <v>2007.5</v>
      </c>
    </row>
    <row r="118" spans="1:9" ht="21" customHeight="1">
      <c r="A118" s="64"/>
      <c r="B118" s="26" t="s">
        <v>249</v>
      </c>
      <c r="C118" s="26" t="s">
        <v>350</v>
      </c>
      <c r="D118" s="12">
        <v>60007611240</v>
      </c>
      <c r="E118" s="30" t="s">
        <v>250</v>
      </c>
      <c r="F118" s="49">
        <f>3639/2+70</f>
        <v>1889.5</v>
      </c>
      <c r="G118" s="49">
        <v>0</v>
      </c>
      <c r="H118" s="76">
        <v>0</v>
      </c>
      <c r="I118" s="51">
        <f t="shared" si="1"/>
        <v>1889.5</v>
      </c>
    </row>
    <row r="119" spans="1:9" ht="21" customHeight="1">
      <c r="A119" s="64"/>
      <c r="B119" s="26" t="s">
        <v>251</v>
      </c>
      <c r="C119" s="26" t="s">
        <v>337</v>
      </c>
      <c r="D119" s="12">
        <v>60006613294</v>
      </c>
      <c r="E119" s="30" t="s">
        <v>252</v>
      </c>
      <c r="F119" s="49">
        <f>974/2</f>
        <v>487</v>
      </c>
      <c r="G119" s="49">
        <v>0</v>
      </c>
      <c r="H119" s="76">
        <v>0</v>
      </c>
      <c r="I119" s="51">
        <f t="shared" si="1"/>
        <v>487</v>
      </c>
    </row>
    <row r="120" spans="1:9" ht="21" customHeight="1">
      <c r="A120" s="64"/>
      <c r="B120" s="26" t="s">
        <v>253</v>
      </c>
      <c r="C120" s="26" t="s">
        <v>303</v>
      </c>
      <c r="D120" s="12">
        <v>60006631725</v>
      </c>
      <c r="E120" s="30" t="s">
        <v>254</v>
      </c>
      <c r="F120" s="49">
        <f>2338/2</f>
        <v>1169</v>
      </c>
      <c r="G120" s="49">
        <v>0</v>
      </c>
      <c r="H120" s="76">
        <v>0</v>
      </c>
      <c r="I120" s="51">
        <f t="shared" si="1"/>
        <v>1169</v>
      </c>
    </row>
    <row r="121" spans="1:9" ht="21" customHeight="1">
      <c r="A121" s="64"/>
      <c r="B121" s="26" t="s">
        <v>255</v>
      </c>
      <c r="C121" s="26" t="s">
        <v>304</v>
      </c>
      <c r="D121" s="12">
        <v>60006631818</v>
      </c>
      <c r="E121" s="30" t="s">
        <v>256</v>
      </c>
      <c r="F121" s="49">
        <f>61/2+61/2</f>
        <v>61</v>
      </c>
      <c r="G121" s="49">
        <v>0</v>
      </c>
      <c r="H121" s="76">
        <v>0</v>
      </c>
      <c r="I121" s="51">
        <f aca="true" t="shared" si="2" ref="I121:I130">F121+G121+H121</f>
        <v>61</v>
      </c>
    </row>
    <row r="122" spans="1:9" ht="21" customHeight="1">
      <c r="A122" s="64"/>
      <c r="B122" s="25" t="s">
        <v>257</v>
      </c>
      <c r="C122" s="95"/>
      <c r="D122" s="14">
        <v>60006631824</v>
      </c>
      <c r="E122" s="45" t="s">
        <v>258</v>
      </c>
      <c r="F122" s="49">
        <f>8505*0.5</f>
        <v>4252.5</v>
      </c>
      <c r="G122" s="49">
        <v>0</v>
      </c>
      <c r="H122" s="76">
        <v>0</v>
      </c>
      <c r="I122" s="51">
        <f t="shared" si="2"/>
        <v>4252.5</v>
      </c>
    </row>
    <row r="123" spans="1:9" ht="21" customHeight="1">
      <c r="A123" s="64"/>
      <c r="B123" s="25" t="s">
        <v>259</v>
      </c>
      <c r="C123" s="25" t="s">
        <v>345</v>
      </c>
      <c r="D123" s="14">
        <v>60006872372</v>
      </c>
      <c r="E123" s="45" t="s">
        <v>260</v>
      </c>
      <c r="F123" s="49">
        <v>122</v>
      </c>
      <c r="G123" s="49">
        <v>0</v>
      </c>
      <c r="H123" s="76">
        <v>0</v>
      </c>
      <c r="I123" s="51">
        <f t="shared" si="2"/>
        <v>122</v>
      </c>
    </row>
    <row r="124" spans="1:9" ht="21" customHeight="1">
      <c r="A124" s="64"/>
      <c r="B124" s="25" t="s">
        <v>261</v>
      </c>
      <c r="C124" s="25" t="s">
        <v>321</v>
      </c>
      <c r="D124" s="14">
        <v>60006974384</v>
      </c>
      <c r="E124" s="45" t="s">
        <v>262</v>
      </c>
      <c r="F124" s="49">
        <f>857/2</f>
        <v>428.5</v>
      </c>
      <c r="G124" s="49">
        <v>0</v>
      </c>
      <c r="H124" s="76">
        <v>0</v>
      </c>
      <c r="I124" s="51">
        <f t="shared" si="2"/>
        <v>428.5</v>
      </c>
    </row>
    <row r="125" spans="1:9" ht="21" customHeight="1">
      <c r="A125" s="64"/>
      <c r="B125" s="25" t="s">
        <v>263</v>
      </c>
      <c r="C125" s="25" t="s">
        <v>368</v>
      </c>
      <c r="D125" s="14">
        <v>60006581324</v>
      </c>
      <c r="E125" s="45" t="s">
        <v>264</v>
      </c>
      <c r="F125" s="49">
        <v>3406</v>
      </c>
      <c r="G125" s="49">
        <v>0</v>
      </c>
      <c r="H125" s="76">
        <v>0</v>
      </c>
      <c r="I125" s="51">
        <f t="shared" si="2"/>
        <v>3406</v>
      </c>
    </row>
    <row r="126" spans="1:9" ht="21" customHeight="1">
      <c r="A126" s="64"/>
      <c r="B126" s="25" t="s">
        <v>265</v>
      </c>
      <c r="C126" s="25" t="s">
        <v>352</v>
      </c>
      <c r="D126" s="14">
        <v>60007651627</v>
      </c>
      <c r="E126" s="45" t="s">
        <v>266</v>
      </c>
      <c r="F126" s="49">
        <v>30</v>
      </c>
      <c r="G126" s="49">
        <v>0</v>
      </c>
      <c r="H126" s="76">
        <v>0</v>
      </c>
      <c r="I126" s="51">
        <f t="shared" si="2"/>
        <v>30</v>
      </c>
    </row>
    <row r="127" spans="1:9" ht="21" customHeight="1">
      <c r="A127" s="64"/>
      <c r="B127" s="25" t="s">
        <v>267</v>
      </c>
      <c r="C127" s="95"/>
      <c r="D127" s="14">
        <v>83007351147</v>
      </c>
      <c r="E127" s="45" t="s">
        <v>268</v>
      </c>
      <c r="F127" s="49">
        <v>15</v>
      </c>
      <c r="G127" s="49">
        <v>0</v>
      </c>
      <c r="H127" s="76">
        <v>0</v>
      </c>
      <c r="I127" s="51">
        <f t="shared" si="2"/>
        <v>15</v>
      </c>
    </row>
    <row r="128" spans="1:9" ht="21" customHeight="1">
      <c r="A128" s="64"/>
      <c r="B128" s="25" t="s">
        <v>269</v>
      </c>
      <c r="C128" s="25"/>
      <c r="D128" s="14">
        <v>83007705623</v>
      </c>
      <c r="E128" s="45" t="s">
        <v>270</v>
      </c>
      <c r="F128" s="49">
        <v>17</v>
      </c>
      <c r="G128" s="49">
        <v>0</v>
      </c>
      <c r="H128" s="76">
        <v>0</v>
      </c>
      <c r="I128" s="51">
        <f t="shared" si="2"/>
        <v>17</v>
      </c>
    </row>
    <row r="129" spans="1:9" ht="21" customHeight="1">
      <c r="A129" s="64"/>
      <c r="B129" s="25" t="s">
        <v>271</v>
      </c>
      <c r="C129" s="25"/>
      <c r="D129" s="14">
        <v>83007812488</v>
      </c>
      <c r="E129" s="45" t="s">
        <v>272</v>
      </c>
      <c r="F129" s="49">
        <v>356</v>
      </c>
      <c r="G129" s="49">
        <v>0</v>
      </c>
      <c r="H129" s="76">
        <v>0</v>
      </c>
      <c r="I129" s="51">
        <f t="shared" si="2"/>
        <v>356</v>
      </c>
    </row>
    <row r="130" spans="1:9" ht="21" customHeight="1">
      <c r="A130" s="64"/>
      <c r="B130" s="25" t="s">
        <v>273</v>
      </c>
      <c r="C130" s="25"/>
      <c r="D130" s="14">
        <v>83007946440</v>
      </c>
      <c r="E130" s="45" t="s">
        <v>274</v>
      </c>
      <c r="F130" s="49"/>
      <c r="G130" s="49"/>
      <c r="H130" s="76"/>
      <c r="I130" s="51">
        <f t="shared" si="2"/>
        <v>0</v>
      </c>
    </row>
    <row r="131" spans="1:9" ht="21" customHeight="1" thickBot="1">
      <c r="A131" s="65" t="s">
        <v>0</v>
      </c>
      <c r="B131" s="66"/>
      <c r="C131" s="66"/>
      <c r="D131" s="13"/>
      <c r="E131" s="13"/>
      <c r="F131" s="69"/>
      <c r="G131" s="69"/>
      <c r="H131" s="77"/>
      <c r="I131" s="70">
        <f>SUM(I8:I130)</f>
        <v>145085.3333333333</v>
      </c>
    </row>
    <row r="132" ht="13.5" thickTop="1"/>
  </sheetData>
  <sheetProtection/>
  <mergeCells count="3">
    <mergeCell ref="F4:I4"/>
    <mergeCell ref="G3:I3"/>
    <mergeCell ref="F2:I2"/>
  </mergeCells>
  <printOptions horizontalCentered="1"/>
  <pageMargins left="0.3937007874015748" right="0.3937007874015748" top="0.5905511811023623" bottom="0.5905511811023623" header="0" footer="0"/>
  <pageSetup fitToHeight="0" fitToWidth="1" horizontalDpi="300" verticalDpi="300" orientation="portrait" paperSize="9" scale="31" r:id="rId1"/>
  <headerFooter alignWithMargins="0">
    <oddHeader>&amp;R&amp;D</oddHeader>
    <oddFooter>&amp;CPágina &amp;P de &amp;N</oddFooter>
  </headerFooter>
  <colBreaks count="1" manualBreakCount="1">
    <brk id="9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L131"/>
  <sheetViews>
    <sheetView zoomScalePageLayoutView="0" workbookViewId="0" topLeftCell="D118">
      <selection activeCell="A54" sqref="A54:IV56"/>
    </sheetView>
  </sheetViews>
  <sheetFormatPr defaultColWidth="11.421875" defaultRowHeight="12.75"/>
  <cols>
    <col min="1" max="1" width="13.28125" style="1" customWidth="1"/>
    <col min="2" max="2" width="86.8515625" style="21" customWidth="1"/>
    <col min="3" max="3" width="103.28125" style="21" customWidth="1"/>
    <col min="4" max="4" width="24.7109375" style="1" customWidth="1"/>
    <col min="5" max="5" width="33.7109375" style="1" hidden="1" customWidth="1"/>
    <col min="6" max="7" width="22.57421875" style="2" customWidth="1"/>
    <col min="8" max="8" width="19.140625" style="2" customWidth="1"/>
    <col min="9" max="9" width="18.28125" style="2" bestFit="1" customWidth="1"/>
    <col min="10" max="10" width="11.421875" style="1" customWidth="1"/>
    <col min="11" max="11" width="11.57421875" style="1" bestFit="1" customWidth="1"/>
    <col min="12" max="16384" width="11.421875" style="1" customWidth="1"/>
  </cols>
  <sheetData>
    <row r="1" ht="15.75" customHeight="1"/>
    <row r="2" spans="7:9" ht="42.75" customHeight="1">
      <c r="G2" s="96" t="s">
        <v>9</v>
      </c>
      <c r="H2" s="96"/>
      <c r="I2" s="96"/>
    </row>
    <row r="3" spans="8:9" ht="33.75" customHeight="1">
      <c r="H3" s="97"/>
      <c r="I3" s="97"/>
    </row>
    <row r="4" spans="7:9" ht="21.75" customHeight="1">
      <c r="G4" s="98" t="s">
        <v>277</v>
      </c>
      <c r="H4" s="98"/>
      <c r="I4" s="98"/>
    </row>
    <row r="5" ht="15.75" customHeight="1"/>
    <row r="6" spans="1:8" ht="15.75" customHeight="1" thickBot="1">
      <c r="A6" s="3"/>
      <c r="B6" s="22"/>
      <c r="C6" s="22"/>
      <c r="D6" s="3"/>
      <c r="E6" s="3"/>
      <c r="F6" s="4"/>
      <c r="G6" s="4"/>
      <c r="H6" s="4"/>
    </row>
    <row r="7" spans="1:9" ht="21" customHeight="1" thickTop="1">
      <c r="A7" s="5" t="s">
        <v>1</v>
      </c>
      <c r="B7" s="23" t="s">
        <v>3</v>
      </c>
      <c r="C7" s="23" t="s">
        <v>285</v>
      </c>
      <c r="D7" s="11" t="s">
        <v>2</v>
      </c>
      <c r="E7" s="11" t="s">
        <v>11</v>
      </c>
      <c r="F7" s="6" t="s">
        <v>6</v>
      </c>
      <c r="G7" s="6" t="s">
        <v>7</v>
      </c>
      <c r="H7" s="6" t="s">
        <v>8</v>
      </c>
      <c r="I7" s="7" t="s">
        <v>0</v>
      </c>
    </row>
    <row r="8" spans="1:9" ht="21" customHeight="1">
      <c r="A8" s="27"/>
      <c r="B8" s="72" t="s">
        <v>15</v>
      </c>
      <c r="C8" s="72" t="s">
        <v>316</v>
      </c>
      <c r="D8" s="12">
        <v>83006884161</v>
      </c>
      <c r="E8" s="30" t="s">
        <v>16</v>
      </c>
      <c r="F8" s="8">
        <v>215.55</v>
      </c>
      <c r="G8" s="8">
        <v>5.88</v>
      </c>
      <c r="H8" s="8">
        <v>1.36</v>
      </c>
      <c r="I8" s="9">
        <f aca="true" t="shared" si="0" ref="I8:I58">SUM(F8:H8)</f>
        <v>222.79000000000002</v>
      </c>
    </row>
    <row r="9" spans="1:9" ht="21" customHeight="1">
      <c r="A9" s="27"/>
      <c r="B9" s="26" t="s">
        <v>17</v>
      </c>
      <c r="C9" s="26" t="s">
        <v>314</v>
      </c>
      <c r="D9" s="12">
        <v>83001699293</v>
      </c>
      <c r="E9" s="30" t="s">
        <v>19</v>
      </c>
      <c r="F9" s="8">
        <v>308.27</v>
      </c>
      <c r="G9" s="8">
        <v>9.07</v>
      </c>
      <c r="H9" s="8">
        <v>0.43</v>
      </c>
      <c r="I9" s="9">
        <f t="shared" si="0"/>
        <v>317.77</v>
      </c>
    </row>
    <row r="10" spans="1:9" ht="21" customHeight="1">
      <c r="A10" s="27"/>
      <c r="B10" s="26" t="s">
        <v>18</v>
      </c>
      <c r="C10" s="26" t="s">
        <v>324</v>
      </c>
      <c r="D10" s="12">
        <v>83002793469</v>
      </c>
      <c r="E10" s="30" t="s">
        <v>20</v>
      </c>
      <c r="F10" s="8">
        <v>1095.62</v>
      </c>
      <c r="G10" s="8">
        <v>31.7</v>
      </c>
      <c r="H10" s="8">
        <v>2.72</v>
      </c>
      <c r="I10" s="9">
        <f t="shared" si="0"/>
        <v>1130.04</v>
      </c>
    </row>
    <row r="11" spans="1:9" ht="21" customHeight="1">
      <c r="A11" s="27"/>
      <c r="B11" s="26" t="s">
        <v>21</v>
      </c>
      <c r="C11" s="26" t="s">
        <v>365</v>
      </c>
      <c r="D11" s="12">
        <v>83005319585</v>
      </c>
      <c r="E11" s="30" t="s">
        <v>22</v>
      </c>
      <c r="F11" s="8">
        <v>216.95</v>
      </c>
      <c r="G11" s="8">
        <v>5.91</v>
      </c>
      <c r="H11" s="8">
        <v>1.4</v>
      </c>
      <c r="I11" s="9">
        <f t="shared" si="0"/>
        <v>224.26</v>
      </c>
    </row>
    <row r="12" spans="1:9" ht="21" customHeight="1">
      <c r="A12" s="27"/>
      <c r="B12" s="26" t="s">
        <v>23</v>
      </c>
      <c r="C12" s="26" t="s">
        <v>325</v>
      </c>
      <c r="D12" s="61">
        <v>999395654431</v>
      </c>
      <c r="E12" s="30" t="s">
        <v>24</v>
      </c>
      <c r="F12" s="8">
        <v>1540.83</v>
      </c>
      <c r="G12" s="8">
        <v>45.06</v>
      </c>
      <c r="H12" s="8">
        <v>2.72</v>
      </c>
      <c r="I12" s="9">
        <f t="shared" si="0"/>
        <v>1588.61</v>
      </c>
    </row>
    <row r="13" spans="1:9" ht="21" customHeight="1">
      <c r="A13" s="27"/>
      <c r="B13" s="26" t="s">
        <v>25</v>
      </c>
      <c r="C13" s="26" t="s">
        <v>315</v>
      </c>
      <c r="D13" s="61">
        <v>999395655454</v>
      </c>
      <c r="E13" s="30" t="s">
        <v>26</v>
      </c>
      <c r="F13" s="8">
        <v>639.63</v>
      </c>
      <c r="G13" s="8">
        <v>18.02</v>
      </c>
      <c r="H13" s="8">
        <v>2.72</v>
      </c>
      <c r="I13" s="9">
        <f t="shared" si="0"/>
        <v>660.37</v>
      </c>
    </row>
    <row r="14" spans="1:9" ht="21" customHeight="1">
      <c r="A14" s="27"/>
      <c r="B14" s="26" t="s">
        <v>27</v>
      </c>
      <c r="C14" s="26" t="s">
        <v>326</v>
      </c>
      <c r="D14" s="61">
        <v>512012286</v>
      </c>
      <c r="E14" s="30" t="s">
        <v>28</v>
      </c>
      <c r="F14" s="8">
        <v>925.32</v>
      </c>
      <c r="G14" s="8">
        <v>26.59</v>
      </c>
      <c r="H14" s="8">
        <v>2.72</v>
      </c>
      <c r="I14" s="9">
        <f t="shared" si="0"/>
        <v>954.6300000000001</v>
      </c>
    </row>
    <row r="15" spans="1:9" ht="21" customHeight="1">
      <c r="A15" s="27"/>
      <c r="B15" s="26" t="s">
        <v>29</v>
      </c>
      <c r="C15" s="26" t="s">
        <v>327</v>
      </c>
      <c r="D15" s="61">
        <v>999395659634</v>
      </c>
      <c r="E15" s="30" t="s">
        <v>30</v>
      </c>
      <c r="F15" s="8">
        <v>1373.65</v>
      </c>
      <c r="G15" s="8">
        <v>40.96</v>
      </c>
      <c r="H15" s="8">
        <v>0.59</v>
      </c>
      <c r="I15" s="9">
        <f t="shared" si="0"/>
        <v>1415.2</v>
      </c>
    </row>
    <row r="16" spans="1:9" ht="21" customHeight="1">
      <c r="A16" s="27"/>
      <c r="B16" s="26" t="s">
        <v>31</v>
      </c>
      <c r="C16" s="26" t="s">
        <v>317</v>
      </c>
      <c r="D16" s="61">
        <v>999395660462</v>
      </c>
      <c r="E16" s="30" t="s">
        <v>32</v>
      </c>
      <c r="F16" s="8">
        <v>379.17</v>
      </c>
      <c r="G16" s="8">
        <v>10.77</v>
      </c>
      <c r="H16" s="8">
        <v>1.4</v>
      </c>
      <c r="I16" s="9">
        <f t="shared" si="0"/>
        <v>391.34</v>
      </c>
    </row>
    <row r="17" spans="1:9" ht="21" customHeight="1">
      <c r="A17" s="27"/>
      <c r="B17" s="26" t="s">
        <v>33</v>
      </c>
      <c r="C17" s="26" t="s">
        <v>366</v>
      </c>
      <c r="D17" s="61">
        <v>999395662284</v>
      </c>
      <c r="E17" s="30" t="s">
        <v>34</v>
      </c>
      <c r="F17" s="8">
        <v>1414.2</v>
      </c>
      <c r="G17" s="8">
        <v>41.82</v>
      </c>
      <c r="H17" s="8">
        <v>1.4</v>
      </c>
      <c r="I17" s="9">
        <f t="shared" si="0"/>
        <v>1457.42</v>
      </c>
    </row>
    <row r="18" spans="1:9" ht="21" customHeight="1">
      <c r="A18" s="27"/>
      <c r="B18" s="26" t="s">
        <v>35</v>
      </c>
      <c r="C18" s="26" t="s">
        <v>292</v>
      </c>
      <c r="D18" s="61">
        <v>999395662947</v>
      </c>
      <c r="E18" s="30" t="s">
        <v>36</v>
      </c>
      <c r="F18" s="8">
        <v>541.46</v>
      </c>
      <c r="G18" s="8">
        <v>15.66</v>
      </c>
      <c r="H18" s="8">
        <v>1.36</v>
      </c>
      <c r="I18" s="9">
        <f t="shared" si="0"/>
        <v>558.48</v>
      </c>
    </row>
    <row r="19" spans="1:9" ht="21" customHeight="1">
      <c r="A19" s="27"/>
      <c r="B19" s="26" t="s">
        <v>37</v>
      </c>
      <c r="C19" s="26" t="s">
        <v>369</v>
      </c>
      <c r="D19" s="61">
        <v>999395663410</v>
      </c>
      <c r="E19" s="30" t="s">
        <v>38</v>
      </c>
      <c r="F19" s="8">
        <v>464.62</v>
      </c>
      <c r="G19" s="8">
        <v>13.34</v>
      </c>
      <c r="H19" s="8">
        <v>1.4</v>
      </c>
      <c r="I19" s="9">
        <f t="shared" si="0"/>
        <v>479.35999999999996</v>
      </c>
    </row>
    <row r="20" spans="1:9" ht="21" customHeight="1">
      <c r="A20" s="27"/>
      <c r="B20" s="26" t="s">
        <v>39</v>
      </c>
      <c r="C20" s="26" t="s">
        <v>293</v>
      </c>
      <c r="D20" s="61">
        <v>999395665004</v>
      </c>
      <c r="E20" s="30" t="s">
        <v>40</v>
      </c>
      <c r="F20" s="8"/>
      <c r="G20" s="8"/>
      <c r="H20" s="8"/>
      <c r="I20" s="9">
        <f t="shared" si="0"/>
        <v>0</v>
      </c>
    </row>
    <row r="21" spans="1:9" ht="21" customHeight="1">
      <c r="A21" s="27"/>
      <c r="B21" s="26" t="s">
        <v>41</v>
      </c>
      <c r="C21" s="26" t="s">
        <v>367</v>
      </c>
      <c r="D21" s="61">
        <v>999395665500</v>
      </c>
      <c r="E21" s="30" t="s">
        <v>42</v>
      </c>
      <c r="F21" s="8">
        <v>566.46</v>
      </c>
      <c r="G21" s="8">
        <v>16.37</v>
      </c>
      <c r="H21" s="8">
        <v>1.45</v>
      </c>
      <c r="I21" s="9">
        <f t="shared" si="0"/>
        <v>584.2800000000001</v>
      </c>
    </row>
    <row r="22" spans="1:9" ht="21" customHeight="1">
      <c r="A22" s="27"/>
      <c r="B22" s="26" t="s">
        <v>43</v>
      </c>
      <c r="C22" s="93"/>
      <c r="D22" s="61">
        <v>999395674678</v>
      </c>
      <c r="E22" s="30" t="s">
        <v>44</v>
      </c>
      <c r="F22" s="8">
        <v>187.84</v>
      </c>
      <c r="G22" s="8">
        <v>4.98</v>
      </c>
      <c r="H22" s="8">
        <v>1.54</v>
      </c>
      <c r="I22" s="9">
        <f t="shared" si="0"/>
        <v>194.35999999999999</v>
      </c>
    </row>
    <row r="23" spans="1:9" ht="21" customHeight="1">
      <c r="A23" s="27"/>
      <c r="B23" s="26" t="s">
        <v>45</v>
      </c>
      <c r="C23" s="26" t="s">
        <v>307</v>
      </c>
      <c r="D23" s="61">
        <v>999395675751</v>
      </c>
      <c r="E23" s="30" t="s">
        <v>46</v>
      </c>
      <c r="F23" s="8">
        <v>470.97</v>
      </c>
      <c r="G23" s="8">
        <v>13.53</v>
      </c>
      <c r="H23" s="8">
        <v>1.4</v>
      </c>
      <c r="I23" s="9">
        <f t="shared" si="0"/>
        <v>485.9</v>
      </c>
    </row>
    <row r="24" spans="1:9" s="19" customFormat="1" ht="21" customHeight="1">
      <c r="A24" s="27"/>
      <c r="B24" s="26" t="s">
        <v>47</v>
      </c>
      <c r="C24" s="26" t="s">
        <v>318</v>
      </c>
      <c r="D24" s="61">
        <v>999395676257</v>
      </c>
      <c r="E24" s="30" t="s">
        <v>48</v>
      </c>
      <c r="F24" s="8">
        <v>220.18</v>
      </c>
      <c r="G24" s="8">
        <v>6</v>
      </c>
      <c r="H24" s="8">
        <v>1.4</v>
      </c>
      <c r="I24" s="9">
        <f t="shared" si="0"/>
        <v>227.58</v>
      </c>
    </row>
    <row r="25" spans="1:9" s="19" customFormat="1" ht="21" customHeight="1">
      <c r="A25" s="27"/>
      <c r="B25" s="26" t="s">
        <v>49</v>
      </c>
      <c r="C25" s="26" t="s">
        <v>328</v>
      </c>
      <c r="D25" s="61">
        <v>999395676905</v>
      </c>
      <c r="E25" s="30" t="s">
        <v>50</v>
      </c>
      <c r="F25" s="8">
        <v>338.79</v>
      </c>
      <c r="G25" s="8">
        <v>9.6</v>
      </c>
      <c r="H25" s="8">
        <v>1.32</v>
      </c>
      <c r="I25" s="9">
        <f t="shared" si="0"/>
        <v>349.71000000000004</v>
      </c>
    </row>
    <row r="26" spans="1:9" ht="21" customHeight="1">
      <c r="A26" s="27"/>
      <c r="B26" s="26" t="s">
        <v>51</v>
      </c>
      <c r="C26" s="93"/>
      <c r="D26" s="61">
        <v>999395677339</v>
      </c>
      <c r="E26" s="30" t="s">
        <v>52</v>
      </c>
      <c r="F26" s="8">
        <v>360.51</v>
      </c>
      <c r="G26" s="8">
        <v>10.23</v>
      </c>
      <c r="H26" s="8">
        <v>1.36</v>
      </c>
      <c r="I26" s="9">
        <f t="shared" si="0"/>
        <v>372.1</v>
      </c>
    </row>
    <row r="27" spans="1:9" ht="21" customHeight="1">
      <c r="A27" s="27"/>
      <c r="B27" s="26" t="s">
        <v>53</v>
      </c>
      <c r="C27" s="93"/>
      <c r="D27" s="61">
        <v>999395680029</v>
      </c>
      <c r="E27" s="30" t="s">
        <v>54</v>
      </c>
      <c r="F27" s="8">
        <v>262.8</v>
      </c>
      <c r="G27" s="8">
        <v>7.3</v>
      </c>
      <c r="H27" s="8">
        <v>1.36</v>
      </c>
      <c r="I27" s="9">
        <f t="shared" si="0"/>
        <v>271.46000000000004</v>
      </c>
    </row>
    <row r="28" spans="1:9" ht="21" customHeight="1">
      <c r="A28" s="27"/>
      <c r="B28" s="26" t="s">
        <v>55</v>
      </c>
      <c r="C28" s="26" t="s">
        <v>294</v>
      </c>
      <c r="D28" s="61">
        <v>999395682858</v>
      </c>
      <c r="E28" s="30" t="s">
        <v>56</v>
      </c>
      <c r="F28" s="8">
        <v>453.56</v>
      </c>
      <c r="G28" s="8">
        <v>13.04</v>
      </c>
      <c r="H28" s="8">
        <v>1.32</v>
      </c>
      <c r="I28" s="9">
        <f t="shared" si="0"/>
        <v>467.92</v>
      </c>
    </row>
    <row r="29" spans="1:9" ht="21" customHeight="1">
      <c r="A29" s="27"/>
      <c r="B29" s="26" t="s">
        <v>57</v>
      </c>
      <c r="C29" s="26" t="s">
        <v>295</v>
      </c>
      <c r="D29" s="12">
        <v>512095448</v>
      </c>
      <c r="E29" s="30" t="s">
        <v>58</v>
      </c>
      <c r="F29" s="8">
        <v>785.54</v>
      </c>
      <c r="G29" s="8">
        <v>23</v>
      </c>
      <c r="H29" s="8">
        <v>1.32</v>
      </c>
      <c r="I29" s="9">
        <f t="shared" si="0"/>
        <v>809.86</v>
      </c>
    </row>
    <row r="30" spans="1:9" ht="21" customHeight="1">
      <c r="A30" s="27"/>
      <c r="B30" s="26" t="s">
        <v>59</v>
      </c>
      <c r="C30" s="26" t="s">
        <v>296</v>
      </c>
      <c r="D30" s="61">
        <v>999395695033</v>
      </c>
      <c r="E30" s="30" t="s">
        <v>60</v>
      </c>
      <c r="F30" s="8">
        <v>431.945</v>
      </c>
      <c r="G30" s="8">
        <v>12.835</v>
      </c>
      <c r="H30" s="8">
        <v>0.285</v>
      </c>
      <c r="I30" s="9">
        <f t="shared" si="0"/>
        <v>445.065</v>
      </c>
    </row>
    <row r="31" spans="1:9" ht="21" customHeight="1">
      <c r="A31" s="27"/>
      <c r="B31" s="26" t="s">
        <v>61</v>
      </c>
      <c r="C31" s="26" t="s">
        <v>296</v>
      </c>
      <c r="D31" s="61">
        <v>999395696742</v>
      </c>
      <c r="E31" s="30" t="s">
        <v>62</v>
      </c>
      <c r="F31" s="8">
        <v>678.19</v>
      </c>
      <c r="G31" s="8">
        <v>20.225</v>
      </c>
      <c r="H31" s="8">
        <v>0.285</v>
      </c>
      <c r="I31" s="9">
        <f t="shared" si="0"/>
        <v>698.7</v>
      </c>
    </row>
    <row r="32" spans="1:9" ht="21" customHeight="1">
      <c r="A32" s="27"/>
      <c r="B32" s="26" t="s">
        <v>63</v>
      </c>
      <c r="C32" s="26" t="s">
        <v>308</v>
      </c>
      <c r="D32" s="61">
        <v>999395697615</v>
      </c>
      <c r="E32" s="30" t="s">
        <v>64</v>
      </c>
      <c r="F32" s="8">
        <f>971.76/2</f>
        <v>485.88</v>
      </c>
      <c r="G32" s="8">
        <f>28.8/2</f>
        <v>14.4</v>
      </c>
      <c r="H32" s="8">
        <f>0.82/2</f>
        <v>0.41</v>
      </c>
      <c r="I32" s="9">
        <f t="shared" si="0"/>
        <v>500.69</v>
      </c>
    </row>
    <row r="33" spans="1:9" ht="21" customHeight="1">
      <c r="A33" s="27"/>
      <c r="B33" s="26" t="s">
        <v>65</v>
      </c>
      <c r="C33" s="26" t="s">
        <v>297</v>
      </c>
      <c r="D33" s="61">
        <v>999395698321</v>
      </c>
      <c r="E33" s="30" t="s">
        <v>66</v>
      </c>
      <c r="F33" s="8">
        <f>779.48/2</f>
        <v>389.74</v>
      </c>
      <c r="G33" s="8">
        <f>23.06/2</f>
        <v>11.53</v>
      </c>
      <c r="H33" s="8">
        <f>0.75/2</f>
        <v>0.375</v>
      </c>
      <c r="I33" s="9">
        <f t="shared" si="0"/>
        <v>401.645</v>
      </c>
    </row>
    <row r="34" spans="1:9" ht="21" customHeight="1">
      <c r="A34" s="27"/>
      <c r="B34" s="26" t="s">
        <v>67</v>
      </c>
      <c r="C34" s="26" t="s">
        <v>309</v>
      </c>
      <c r="D34" s="62">
        <v>999395698661</v>
      </c>
      <c r="E34" s="31" t="s">
        <v>68</v>
      </c>
      <c r="F34" s="18">
        <f>405.54/2</f>
        <v>202.77</v>
      </c>
      <c r="G34" s="18">
        <f>11.84/2</f>
        <v>5.92</v>
      </c>
      <c r="H34" s="18">
        <f>0.77/2</f>
        <v>0.385</v>
      </c>
      <c r="I34" s="9">
        <f t="shared" si="0"/>
        <v>209.075</v>
      </c>
    </row>
    <row r="35" spans="1:9" ht="21" customHeight="1">
      <c r="A35" s="27"/>
      <c r="B35" s="26" t="s">
        <v>69</v>
      </c>
      <c r="C35" s="26"/>
      <c r="D35" s="61">
        <v>999395699042</v>
      </c>
      <c r="E35" s="30" t="s">
        <v>70</v>
      </c>
      <c r="F35" s="8">
        <f>1288.22/2</f>
        <v>644.11</v>
      </c>
      <c r="G35" s="8">
        <f>38.33/2</f>
        <v>19.165</v>
      </c>
      <c r="H35" s="8">
        <f>0.75/2</f>
        <v>0.375</v>
      </c>
      <c r="I35" s="9">
        <f t="shared" si="0"/>
        <v>663.65</v>
      </c>
    </row>
    <row r="36" spans="1:12" s="20" customFormat="1" ht="21" customHeight="1">
      <c r="A36" s="27"/>
      <c r="B36" s="26" t="s">
        <v>71</v>
      </c>
      <c r="C36" s="93"/>
      <c r="D36" s="61">
        <v>999395699192</v>
      </c>
      <c r="E36" s="30" t="s">
        <v>72</v>
      </c>
      <c r="F36" s="18">
        <f>344.94/2</f>
        <v>172.47</v>
      </c>
      <c r="G36" s="18">
        <f>10.05/2</f>
        <v>5.025</v>
      </c>
      <c r="H36" s="18">
        <f>0.69/2</f>
        <v>0.345</v>
      </c>
      <c r="I36" s="87">
        <f t="shared" si="0"/>
        <v>177.84</v>
      </c>
      <c r="J36" s="19"/>
      <c r="K36" s="19"/>
      <c r="L36" s="19"/>
    </row>
    <row r="37" spans="1:12" ht="21" customHeight="1">
      <c r="A37" s="27"/>
      <c r="B37" s="26" t="s">
        <v>73</v>
      </c>
      <c r="C37" s="93"/>
      <c r="D37" s="61">
        <v>999395699382</v>
      </c>
      <c r="E37" s="30" t="s">
        <v>74</v>
      </c>
      <c r="F37" s="8">
        <f>434.53/2</f>
        <v>217.265</v>
      </c>
      <c r="G37" s="8">
        <f>12.68/2</f>
        <v>6.34</v>
      </c>
      <c r="H37" s="8">
        <f>0.84/2</f>
        <v>0.42</v>
      </c>
      <c r="I37" s="9">
        <f t="shared" si="0"/>
        <v>224.02499999999998</v>
      </c>
      <c r="J37" s="19"/>
      <c r="K37" s="19"/>
      <c r="L37" s="19"/>
    </row>
    <row r="38" spans="1:12" ht="21" customHeight="1">
      <c r="A38" s="27"/>
      <c r="B38" s="26" t="s">
        <v>75</v>
      </c>
      <c r="C38" s="26" t="s">
        <v>298</v>
      </c>
      <c r="D38" s="61">
        <v>999395699631</v>
      </c>
      <c r="E38" s="30" t="s">
        <v>76</v>
      </c>
      <c r="F38" s="8">
        <f>144.98/2</f>
        <v>72.49</v>
      </c>
      <c r="G38" s="8">
        <f>4.04/2</f>
        <v>2.02</v>
      </c>
      <c r="H38" s="8">
        <f>0.73/2</f>
        <v>0.365</v>
      </c>
      <c r="I38" s="9">
        <f t="shared" si="0"/>
        <v>74.87499999999999</v>
      </c>
      <c r="J38" s="19"/>
      <c r="K38" s="19"/>
      <c r="L38" s="19"/>
    </row>
    <row r="39" spans="1:12" ht="21" customHeight="1">
      <c r="A39" s="27"/>
      <c r="B39" s="26" t="s">
        <v>77</v>
      </c>
      <c r="C39" s="93"/>
      <c r="D39" s="61">
        <v>999395699855</v>
      </c>
      <c r="E39" s="30" t="s">
        <v>78</v>
      </c>
      <c r="F39" s="8">
        <f>388.89/2</f>
        <v>194.445</v>
      </c>
      <c r="G39" s="8">
        <f>11.33/2</f>
        <v>5.665</v>
      </c>
      <c r="H39" s="8">
        <f>0.79/2</f>
        <v>0.395</v>
      </c>
      <c r="I39" s="9">
        <f t="shared" si="0"/>
        <v>200.505</v>
      </c>
      <c r="J39" s="19"/>
      <c r="K39" s="19"/>
      <c r="L39" s="19"/>
    </row>
    <row r="40" spans="1:12" ht="21" customHeight="1">
      <c r="A40" s="27"/>
      <c r="B40" s="26" t="s">
        <v>79</v>
      </c>
      <c r="C40" s="26" t="s">
        <v>299</v>
      </c>
      <c r="D40" s="61">
        <v>999395699914</v>
      </c>
      <c r="E40" s="30" t="s">
        <v>80</v>
      </c>
      <c r="F40" s="8">
        <f>742.34/2</f>
        <v>371.17</v>
      </c>
      <c r="G40" s="8">
        <f>21.92/2</f>
        <v>10.96</v>
      </c>
      <c r="H40" s="8">
        <f>0.81/2</f>
        <v>0.405</v>
      </c>
      <c r="I40" s="9">
        <f t="shared" si="0"/>
        <v>382.53499999999997</v>
      </c>
      <c r="J40" s="19"/>
      <c r="K40" s="19"/>
      <c r="L40" s="19"/>
    </row>
    <row r="41" spans="1:12" ht="21" customHeight="1">
      <c r="A41" s="27"/>
      <c r="B41" s="26" t="s">
        <v>81</v>
      </c>
      <c r="C41" s="26" t="s">
        <v>329</v>
      </c>
      <c r="D41" s="61">
        <v>999395720675</v>
      </c>
      <c r="E41" s="30" t="s">
        <v>82</v>
      </c>
      <c r="F41" s="8">
        <f>1460.48/2</f>
        <v>730.24</v>
      </c>
      <c r="G41" s="8">
        <f>43.48/2</f>
        <v>21.74</v>
      </c>
      <c r="H41" s="8">
        <f>0.77/2</f>
        <v>0.385</v>
      </c>
      <c r="I41" s="9">
        <f t="shared" si="0"/>
        <v>752.365</v>
      </c>
      <c r="J41" s="19"/>
      <c r="K41" s="19"/>
      <c r="L41" s="19"/>
    </row>
    <row r="42" spans="1:12" ht="21" customHeight="1">
      <c r="A42" s="27"/>
      <c r="B42" s="26" t="s">
        <v>83</v>
      </c>
      <c r="C42" s="26" t="s">
        <v>300</v>
      </c>
      <c r="D42" s="61">
        <v>999395721493</v>
      </c>
      <c r="E42" s="30" t="s">
        <v>84</v>
      </c>
      <c r="F42" s="8">
        <f>842.44/2</f>
        <v>421.22</v>
      </c>
      <c r="G42" s="8">
        <f>24.94/2</f>
        <v>12.47</v>
      </c>
      <c r="H42" s="8">
        <f>0.78/2</f>
        <v>0.39</v>
      </c>
      <c r="I42" s="9">
        <f t="shared" si="0"/>
        <v>434.08000000000004</v>
      </c>
      <c r="J42" s="19"/>
      <c r="K42" s="19"/>
      <c r="L42" s="19"/>
    </row>
    <row r="43" spans="1:12" ht="21" customHeight="1">
      <c r="A43" s="27"/>
      <c r="B43" s="26" t="s">
        <v>85</v>
      </c>
      <c r="C43" s="26"/>
      <c r="D43" s="61">
        <v>999395728957</v>
      </c>
      <c r="E43" s="30" t="s">
        <v>86</v>
      </c>
      <c r="F43" s="8">
        <f>168.06/2</f>
        <v>84.03</v>
      </c>
      <c r="G43" s="8">
        <f>4.71/2</f>
        <v>2.355</v>
      </c>
      <c r="H43" s="8">
        <f>0.77/2</f>
        <v>0.385</v>
      </c>
      <c r="I43" s="9">
        <f t="shared" si="0"/>
        <v>86.77000000000001</v>
      </c>
      <c r="J43" s="19"/>
      <c r="K43" s="19"/>
      <c r="L43" s="19"/>
    </row>
    <row r="44" spans="1:12" ht="21" customHeight="1">
      <c r="A44" s="27"/>
      <c r="B44" s="26" t="s">
        <v>87</v>
      </c>
      <c r="C44" s="26" t="s">
        <v>330</v>
      </c>
      <c r="D44" s="61">
        <v>999395729357</v>
      </c>
      <c r="E44" s="30" t="s">
        <v>88</v>
      </c>
      <c r="F44" s="8">
        <f>264.15/2</f>
        <v>132.075</v>
      </c>
      <c r="G44" s="8">
        <f>7.57/2</f>
        <v>3.785</v>
      </c>
      <c r="H44" s="8">
        <f>0.82/2</f>
        <v>0.41</v>
      </c>
      <c r="I44" s="9">
        <f t="shared" si="0"/>
        <v>136.26999999999998</v>
      </c>
      <c r="J44" s="19"/>
      <c r="K44" s="19"/>
      <c r="L44" s="19"/>
    </row>
    <row r="45" spans="1:12" ht="21" customHeight="1">
      <c r="A45" s="27"/>
      <c r="B45" s="26" t="s">
        <v>89</v>
      </c>
      <c r="C45" s="93"/>
      <c r="D45" s="61">
        <v>999395729815</v>
      </c>
      <c r="E45" s="30" t="s">
        <v>90</v>
      </c>
      <c r="F45" s="8">
        <f>230.03/2</f>
        <v>115.015</v>
      </c>
      <c r="G45" s="8">
        <f>6.58/2</f>
        <v>3.29</v>
      </c>
      <c r="H45" s="8">
        <f>0.75/2</f>
        <v>0.375</v>
      </c>
      <c r="I45" s="9">
        <f t="shared" si="0"/>
        <v>118.68</v>
      </c>
      <c r="J45" s="19"/>
      <c r="K45" s="19"/>
      <c r="L45" s="19"/>
    </row>
    <row r="46" spans="1:12" ht="21" customHeight="1">
      <c r="A46" s="27"/>
      <c r="B46" s="26" t="s">
        <v>94</v>
      </c>
      <c r="C46" s="26" t="s">
        <v>331</v>
      </c>
      <c r="D46" s="61">
        <v>999395730546</v>
      </c>
      <c r="E46" s="30" t="s">
        <v>91</v>
      </c>
      <c r="F46" s="8">
        <f>100.25/2</f>
        <v>50.125</v>
      </c>
      <c r="G46" s="8">
        <f>2.67/2</f>
        <v>1.335</v>
      </c>
      <c r="H46" s="8">
        <f>0.79/2</f>
        <v>0.395</v>
      </c>
      <c r="I46" s="9">
        <f t="shared" si="0"/>
        <v>51.855000000000004</v>
      </c>
      <c r="J46" s="19"/>
      <c r="K46" s="19"/>
      <c r="L46" s="19"/>
    </row>
    <row r="47" spans="1:12" ht="21" customHeight="1">
      <c r="A47" s="27"/>
      <c r="B47" s="26" t="s">
        <v>92</v>
      </c>
      <c r="C47" s="26" t="s">
        <v>319</v>
      </c>
      <c r="D47" s="61">
        <v>999395731005</v>
      </c>
      <c r="E47" s="32" t="s">
        <v>93</v>
      </c>
      <c r="F47" s="8">
        <f>298.83/2</f>
        <v>149.415</v>
      </c>
      <c r="G47" s="8">
        <f>8.63/2</f>
        <v>4.315</v>
      </c>
      <c r="H47" s="8">
        <f>0.77/2</f>
        <v>0.385</v>
      </c>
      <c r="I47" s="9">
        <f t="shared" si="0"/>
        <v>154.11499999999998</v>
      </c>
      <c r="J47" s="19"/>
      <c r="K47" s="19"/>
      <c r="L47" s="19"/>
    </row>
    <row r="48" spans="1:12" ht="21" customHeight="1">
      <c r="A48" s="27"/>
      <c r="B48" s="26" t="s">
        <v>95</v>
      </c>
      <c r="C48" s="93"/>
      <c r="D48" s="61">
        <v>999395731797</v>
      </c>
      <c r="E48" s="30" t="s">
        <v>96</v>
      </c>
      <c r="F48" s="8">
        <v>197.37</v>
      </c>
      <c r="G48" s="8">
        <v>5.69</v>
      </c>
      <c r="H48" s="8">
        <v>0.54</v>
      </c>
      <c r="I48" s="9">
        <f t="shared" si="0"/>
        <v>203.6</v>
      </c>
      <c r="J48" s="19"/>
      <c r="K48" s="19"/>
      <c r="L48" s="19"/>
    </row>
    <row r="49" spans="1:12" ht="21" customHeight="1">
      <c r="A49" s="27"/>
      <c r="B49" s="26" t="s">
        <v>97</v>
      </c>
      <c r="C49" s="26"/>
      <c r="D49" s="61">
        <v>999395850272</v>
      </c>
      <c r="E49" s="30" t="s">
        <v>98</v>
      </c>
      <c r="F49" s="8">
        <v>943.86</v>
      </c>
      <c r="G49" s="8">
        <v>27.73</v>
      </c>
      <c r="H49" s="8">
        <v>1.36</v>
      </c>
      <c r="I49" s="9">
        <f t="shared" si="0"/>
        <v>972.95</v>
      </c>
      <c r="J49" s="19"/>
      <c r="K49" s="19"/>
      <c r="L49" s="19"/>
    </row>
    <row r="50" spans="1:12" ht="21" customHeight="1">
      <c r="A50" s="27"/>
      <c r="B50" s="26" t="s">
        <v>99</v>
      </c>
      <c r="C50" s="93"/>
      <c r="D50" s="61">
        <v>999395869847</v>
      </c>
      <c r="E50" s="30" t="s">
        <v>100</v>
      </c>
      <c r="F50" s="8">
        <v>444.24</v>
      </c>
      <c r="G50" s="8">
        <v>13.08</v>
      </c>
      <c r="H50" s="8">
        <v>0.58</v>
      </c>
      <c r="I50" s="9">
        <f t="shared" si="0"/>
        <v>457.9</v>
      </c>
      <c r="J50" s="19"/>
      <c r="K50" s="19"/>
      <c r="L50" s="19"/>
    </row>
    <row r="51" spans="1:12" ht="21" customHeight="1">
      <c r="A51" s="27"/>
      <c r="B51" s="26" t="s">
        <v>101</v>
      </c>
      <c r="C51" s="26" t="s">
        <v>371</v>
      </c>
      <c r="D51" s="12">
        <v>83007836944</v>
      </c>
      <c r="E51" s="30" t="s">
        <v>102</v>
      </c>
      <c r="F51" s="8">
        <f>280.53/2</f>
        <v>140.265</v>
      </c>
      <c r="G51" s="8">
        <f>8.07/2</f>
        <v>4.035</v>
      </c>
      <c r="H51" s="8">
        <f>0.8/2</f>
        <v>0.4</v>
      </c>
      <c r="I51" s="9">
        <f t="shared" si="0"/>
        <v>144.7</v>
      </c>
      <c r="J51" s="19"/>
      <c r="K51" s="19"/>
      <c r="L51" s="19"/>
    </row>
    <row r="52" spans="1:12" ht="21" customHeight="1">
      <c r="A52" s="27"/>
      <c r="B52" s="26" t="s">
        <v>103</v>
      </c>
      <c r="C52" s="26" t="s">
        <v>286</v>
      </c>
      <c r="D52" s="61">
        <v>999418107083</v>
      </c>
      <c r="E52" s="30" t="s">
        <v>104</v>
      </c>
      <c r="F52" s="8">
        <f>2868.59/2</f>
        <v>1434.295</v>
      </c>
      <c r="G52" s="8">
        <f>85.72/2</f>
        <v>42.86</v>
      </c>
      <c r="H52" s="8">
        <f>0.79/2</f>
        <v>0.395</v>
      </c>
      <c r="I52" s="9">
        <f t="shared" si="0"/>
        <v>1477.55</v>
      </c>
      <c r="J52" s="19"/>
      <c r="K52" s="19"/>
      <c r="L52" s="19"/>
    </row>
    <row r="53" spans="1:12" ht="21" customHeight="1">
      <c r="A53" s="27"/>
      <c r="B53" s="26" t="s">
        <v>105</v>
      </c>
      <c r="C53" s="26" t="s">
        <v>332</v>
      </c>
      <c r="D53" s="61">
        <v>999418108530</v>
      </c>
      <c r="E53" s="30" t="s">
        <v>106</v>
      </c>
      <c r="F53" s="8">
        <v>339.76</v>
      </c>
      <c r="G53" s="8">
        <v>9.61</v>
      </c>
      <c r="H53" s="8">
        <v>1.36</v>
      </c>
      <c r="I53" s="9">
        <f t="shared" si="0"/>
        <v>350.73</v>
      </c>
      <c r="J53" s="19"/>
      <c r="K53" s="19"/>
      <c r="L53" s="19"/>
    </row>
    <row r="54" spans="1:12" ht="21" customHeight="1">
      <c r="A54" s="27"/>
      <c r="B54" s="26" t="s">
        <v>107</v>
      </c>
      <c r="C54" s="26" t="s">
        <v>302</v>
      </c>
      <c r="D54" s="61">
        <v>999444028261</v>
      </c>
      <c r="E54" s="30" t="s">
        <v>108</v>
      </c>
      <c r="F54" s="8">
        <v>120.79</v>
      </c>
      <c r="G54" s="8">
        <v>3.04</v>
      </c>
      <c r="H54" s="8">
        <v>1.36</v>
      </c>
      <c r="I54" s="9">
        <f t="shared" si="0"/>
        <v>125.19000000000001</v>
      </c>
      <c r="J54" s="19"/>
      <c r="K54" s="19"/>
      <c r="L54" s="19"/>
    </row>
    <row r="55" spans="1:12" ht="21" customHeight="1">
      <c r="A55" s="27"/>
      <c r="B55" s="26" t="s">
        <v>109</v>
      </c>
      <c r="C55" s="26" t="s">
        <v>313</v>
      </c>
      <c r="D55" s="12">
        <v>83000769293</v>
      </c>
      <c r="E55" s="30" t="s">
        <v>110</v>
      </c>
      <c r="F55" s="8">
        <v>315.29</v>
      </c>
      <c r="G55" s="8">
        <v>8.86</v>
      </c>
      <c r="H55" s="8">
        <v>1.4</v>
      </c>
      <c r="I55" s="9">
        <f t="shared" si="0"/>
        <v>325.55</v>
      </c>
      <c r="J55" s="19"/>
      <c r="K55" s="19"/>
      <c r="L55" s="19"/>
    </row>
    <row r="56" spans="1:9" s="19" customFormat="1" ht="21" customHeight="1">
      <c r="A56" s="27"/>
      <c r="B56" s="35" t="s">
        <v>125</v>
      </c>
      <c r="C56" s="94"/>
      <c r="D56" s="36">
        <v>60006203645</v>
      </c>
      <c r="E56" s="37" t="s">
        <v>126</v>
      </c>
      <c r="F56" s="8">
        <v>29.67</v>
      </c>
      <c r="G56" s="8">
        <v>0.87</v>
      </c>
      <c r="H56" s="8">
        <v>0.06</v>
      </c>
      <c r="I56" s="9">
        <f t="shared" si="0"/>
        <v>30.6</v>
      </c>
    </row>
    <row r="57" spans="1:9" s="19" customFormat="1" ht="21" customHeight="1">
      <c r="A57" s="27"/>
      <c r="B57" s="26" t="s">
        <v>127</v>
      </c>
      <c r="C57" s="93"/>
      <c r="D57" s="12">
        <v>60007966411</v>
      </c>
      <c r="E57" s="30" t="s">
        <v>128</v>
      </c>
      <c r="F57" s="8">
        <v>64.17</v>
      </c>
      <c r="G57" s="8">
        <v>1.9</v>
      </c>
      <c r="H57" s="8">
        <v>0.06</v>
      </c>
      <c r="I57" s="9">
        <f t="shared" si="0"/>
        <v>66.13000000000001</v>
      </c>
    </row>
    <row r="58" spans="1:12" s="29" customFormat="1" ht="21" customHeight="1">
      <c r="A58" s="27"/>
      <c r="B58" s="26" t="s">
        <v>129</v>
      </c>
      <c r="C58" s="26" t="s">
        <v>289</v>
      </c>
      <c r="D58" s="12">
        <v>60006643135</v>
      </c>
      <c r="E58" s="30" t="s">
        <v>130</v>
      </c>
      <c r="F58" s="8">
        <f>87.39/2</f>
        <v>43.695</v>
      </c>
      <c r="G58" s="8">
        <f>2.63/2</f>
        <v>1.315</v>
      </c>
      <c r="H58" s="89">
        <f>-0.01/2</f>
        <v>-0.005</v>
      </c>
      <c r="I58" s="9">
        <f t="shared" si="0"/>
        <v>45.004999999999995</v>
      </c>
      <c r="J58" s="19"/>
      <c r="K58" s="19"/>
      <c r="L58" s="19"/>
    </row>
    <row r="59" spans="1:12" s="29" customFormat="1" ht="21" customHeight="1">
      <c r="A59" s="27"/>
      <c r="B59" s="26" t="s">
        <v>131</v>
      </c>
      <c r="C59" s="93"/>
      <c r="D59" s="12">
        <v>60007843244</v>
      </c>
      <c r="E59" s="30" t="s">
        <v>132</v>
      </c>
      <c r="F59" s="8">
        <f>83.65/2</f>
        <v>41.825</v>
      </c>
      <c r="G59" s="8">
        <f>2.48/2</f>
        <v>1.24</v>
      </c>
      <c r="H59" s="8">
        <f>0.08/2</f>
        <v>0.04</v>
      </c>
      <c r="I59" s="9">
        <f aca="true" t="shared" si="1" ref="I59:I119">SUM(F59:H59)</f>
        <v>43.105000000000004</v>
      </c>
      <c r="J59" s="19"/>
      <c r="K59" s="19"/>
      <c r="L59" s="19"/>
    </row>
    <row r="60" spans="1:12" s="29" customFormat="1" ht="21" customHeight="1">
      <c r="A60" s="27"/>
      <c r="B60" s="26" t="s">
        <v>133</v>
      </c>
      <c r="C60" s="26" t="s">
        <v>322</v>
      </c>
      <c r="D60" s="12">
        <v>60007843069</v>
      </c>
      <c r="E60" s="30" t="s">
        <v>134</v>
      </c>
      <c r="F60" s="8">
        <f>127.44/2</f>
        <v>63.72</v>
      </c>
      <c r="G60" s="8">
        <f>3.73/2</f>
        <v>1.865</v>
      </c>
      <c r="H60" s="8">
        <f>0.21/2</f>
        <v>0.105</v>
      </c>
      <c r="I60" s="9">
        <f t="shared" si="1"/>
        <v>65.69</v>
      </c>
      <c r="J60" s="19"/>
      <c r="K60" s="19"/>
      <c r="L60" s="19"/>
    </row>
    <row r="61" spans="1:12" ht="21" customHeight="1">
      <c r="A61" s="27"/>
      <c r="B61" s="26" t="s">
        <v>135</v>
      </c>
      <c r="C61" s="26" t="s">
        <v>353</v>
      </c>
      <c r="D61" s="12">
        <v>60007843073</v>
      </c>
      <c r="E61" s="30" t="s">
        <v>136</v>
      </c>
      <c r="F61" s="8">
        <f>110.86/2</f>
        <v>55.43</v>
      </c>
      <c r="G61" s="8">
        <f>3.29/2</f>
        <v>1.645</v>
      </c>
      <c r="H61" s="8">
        <f>0.08/2</f>
        <v>0.04</v>
      </c>
      <c r="I61" s="9">
        <f t="shared" si="1"/>
        <v>57.115</v>
      </c>
      <c r="J61" s="19"/>
      <c r="K61" s="19"/>
      <c r="L61" s="19"/>
    </row>
    <row r="62" spans="1:12" ht="21" customHeight="1">
      <c r="A62" s="27"/>
      <c r="B62" s="26" t="s">
        <v>137</v>
      </c>
      <c r="C62" s="93"/>
      <c r="D62" s="12">
        <v>60007843356</v>
      </c>
      <c r="E62" s="30" t="s">
        <v>138</v>
      </c>
      <c r="F62" s="8">
        <f>35.62/2</f>
        <v>17.81</v>
      </c>
      <c r="G62" s="8">
        <f>1.03/2</f>
        <v>0.515</v>
      </c>
      <c r="H62" s="8">
        <f>0.08/2</f>
        <v>0.04</v>
      </c>
      <c r="I62" s="9">
        <f t="shared" si="1"/>
        <v>18.365</v>
      </c>
      <c r="J62" s="19"/>
      <c r="K62" s="19"/>
      <c r="L62" s="19"/>
    </row>
    <row r="63" spans="1:12" ht="21" customHeight="1">
      <c r="A63" s="27"/>
      <c r="B63" s="26" t="s">
        <v>139</v>
      </c>
      <c r="C63" s="93"/>
      <c r="D63" s="12">
        <v>60007847274</v>
      </c>
      <c r="E63" s="30" t="s">
        <v>140</v>
      </c>
      <c r="F63" s="8">
        <f>56.74/2</f>
        <v>28.37</v>
      </c>
      <c r="G63" s="8">
        <f>1.61/2</f>
        <v>0.805</v>
      </c>
      <c r="H63" s="8">
        <f>0.21/2</f>
        <v>0.105</v>
      </c>
      <c r="I63" s="9">
        <f t="shared" si="1"/>
        <v>29.28</v>
      </c>
      <c r="J63" s="19"/>
      <c r="K63" s="19"/>
      <c r="L63" s="19"/>
    </row>
    <row r="64" spans="1:12" ht="21" customHeight="1">
      <c r="A64" s="27"/>
      <c r="B64" s="26" t="s">
        <v>141</v>
      </c>
      <c r="C64" s="93"/>
      <c r="D64" s="12">
        <v>60007847482</v>
      </c>
      <c r="E64" s="30" t="s">
        <v>142</v>
      </c>
      <c r="F64" s="8">
        <v>66.9</v>
      </c>
      <c r="G64" s="8">
        <v>1.98</v>
      </c>
      <c r="H64" s="8">
        <v>0.06</v>
      </c>
      <c r="I64" s="9">
        <f t="shared" si="1"/>
        <v>68.94000000000001</v>
      </c>
      <c r="J64" s="19"/>
      <c r="K64" s="19"/>
      <c r="L64" s="19"/>
    </row>
    <row r="65" spans="1:12" ht="21" customHeight="1">
      <c r="A65" s="27"/>
      <c r="B65" s="26" t="s">
        <v>143</v>
      </c>
      <c r="C65" s="26" t="s">
        <v>323</v>
      </c>
      <c r="D65" s="12">
        <v>60007858040</v>
      </c>
      <c r="E65" s="90" t="s">
        <v>144</v>
      </c>
      <c r="F65" s="8">
        <v>29.61</v>
      </c>
      <c r="G65" s="8">
        <v>0.84</v>
      </c>
      <c r="H65" s="8">
        <v>0.1</v>
      </c>
      <c r="I65" s="9">
        <f t="shared" si="1"/>
        <v>30.55</v>
      </c>
      <c r="J65" s="19"/>
      <c r="K65" s="19"/>
      <c r="L65" s="19"/>
    </row>
    <row r="66" spans="1:12" ht="21" customHeight="1">
      <c r="A66" s="27"/>
      <c r="B66" s="43" t="s">
        <v>145</v>
      </c>
      <c r="C66" s="43" t="s">
        <v>358</v>
      </c>
      <c r="D66" s="44">
        <v>60007889355</v>
      </c>
      <c r="E66" s="37" t="s">
        <v>146</v>
      </c>
      <c r="F66" s="18">
        <f>55.48/2</f>
        <v>27.74</v>
      </c>
      <c r="G66" s="18">
        <f>1.63/2</f>
        <v>0.815</v>
      </c>
      <c r="H66" s="18">
        <f>0.07/2</f>
        <v>0.035</v>
      </c>
      <c r="I66" s="9">
        <f t="shared" si="1"/>
        <v>28.59</v>
      </c>
      <c r="J66" s="19"/>
      <c r="K66" s="19"/>
      <c r="L66" s="19"/>
    </row>
    <row r="67" spans="1:12" ht="21" customHeight="1">
      <c r="A67" s="39"/>
      <c r="B67" s="41" t="s">
        <v>147</v>
      </c>
      <c r="C67" s="41" t="s">
        <v>311</v>
      </c>
      <c r="D67" s="40">
        <v>60007899611</v>
      </c>
      <c r="E67" s="42" t="s">
        <v>148</v>
      </c>
      <c r="F67" s="18">
        <v>102.34</v>
      </c>
      <c r="G67" s="18">
        <v>3.03</v>
      </c>
      <c r="H67" s="18">
        <v>0.1</v>
      </c>
      <c r="I67" s="9">
        <f t="shared" si="1"/>
        <v>105.47</v>
      </c>
      <c r="J67" s="19"/>
      <c r="K67" s="19"/>
      <c r="L67" s="19"/>
    </row>
    <row r="68" spans="1:12" ht="21" customHeight="1">
      <c r="A68" s="27"/>
      <c r="B68" s="26" t="s">
        <v>149</v>
      </c>
      <c r="C68" s="93"/>
      <c r="D68" s="12">
        <v>60008073286</v>
      </c>
      <c r="E68" s="30" t="s">
        <v>150</v>
      </c>
      <c r="F68" s="8">
        <f>30.89/2</f>
        <v>15.445</v>
      </c>
      <c r="G68" s="8">
        <f>0.83/2</f>
        <v>0.415</v>
      </c>
      <c r="H68" s="8">
        <f>0.22/2</f>
        <v>0.11</v>
      </c>
      <c r="I68" s="9">
        <f t="shared" si="1"/>
        <v>15.969999999999999</v>
      </c>
      <c r="J68" s="19"/>
      <c r="K68" s="19"/>
      <c r="L68" s="19"/>
    </row>
    <row r="69" spans="1:12" ht="21" customHeight="1">
      <c r="A69" s="27"/>
      <c r="B69" s="26" t="s">
        <v>151</v>
      </c>
      <c r="C69" s="26"/>
      <c r="D69" s="12">
        <v>60008101006</v>
      </c>
      <c r="E69" s="30" t="s">
        <v>152</v>
      </c>
      <c r="F69" s="8">
        <v>32.14</v>
      </c>
      <c r="G69" s="8">
        <v>0.92</v>
      </c>
      <c r="H69" s="8">
        <v>0.1</v>
      </c>
      <c r="I69" s="9">
        <f t="shared" si="1"/>
        <v>33.160000000000004</v>
      </c>
      <c r="J69" s="19"/>
      <c r="K69" s="19"/>
      <c r="L69" s="19"/>
    </row>
    <row r="70" spans="1:12" s="29" customFormat="1" ht="21" customHeight="1">
      <c r="A70" s="27"/>
      <c r="B70" s="26" t="s">
        <v>153</v>
      </c>
      <c r="C70" s="26" t="s">
        <v>359</v>
      </c>
      <c r="D70" s="12">
        <v>60008115357</v>
      </c>
      <c r="E70" s="30" t="s">
        <v>154</v>
      </c>
      <c r="F70" s="8">
        <v>55.16</v>
      </c>
      <c r="G70" s="8">
        <v>1.63</v>
      </c>
      <c r="H70" s="8">
        <v>0.05</v>
      </c>
      <c r="I70" s="9">
        <f t="shared" si="1"/>
        <v>56.839999999999996</v>
      </c>
      <c r="J70" s="19"/>
      <c r="K70" s="19"/>
      <c r="L70" s="19"/>
    </row>
    <row r="71" spans="1:12" s="20" customFormat="1" ht="21" customHeight="1">
      <c r="A71" s="27"/>
      <c r="B71" s="26" t="s">
        <v>155</v>
      </c>
      <c r="C71" s="26" t="s">
        <v>312</v>
      </c>
      <c r="D71" s="12">
        <v>60008450632</v>
      </c>
      <c r="E71" s="30" t="s">
        <v>156</v>
      </c>
      <c r="F71" s="8">
        <v>21.68</v>
      </c>
      <c r="G71" s="8">
        <v>0.62</v>
      </c>
      <c r="H71" s="8">
        <v>0.06</v>
      </c>
      <c r="I71" s="9">
        <f t="shared" si="1"/>
        <v>22.36</v>
      </c>
      <c r="J71" s="19"/>
      <c r="K71" s="19"/>
      <c r="L71" s="19"/>
    </row>
    <row r="72" spans="1:12" s="20" customFormat="1" ht="21" customHeight="1">
      <c r="A72" s="27"/>
      <c r="B72" s="26" t="s">
        <v>157</v>
      </c>
      <c r="C72" s="26" t="s">
        <v>360</v>
      </c>
      <c r="D72" s="12">
        <v>60008427213</v>
      </c>
      <c r="E72" s="30" t="s">
        <v>158</v>
      </c>
      <c r="F72" s="8">
        <f>48.32/2</f>
        <v>24.16</v>
      </c>
      <c r="G72" s="8">
        <f>1.42/2</f>
        <v>0.71</v>
      </c>
      <c r="H72" s="8">
        <f>0.08/2</f>
        <v>0.04</v>
      </c>
      <c r="I72" s="9">
        <f t="shared" si="1"/>
        <v>24.91</v>
      </c>
      <c r="J72" s="19"/>
      <c r="K72" s="19"/>
      <c r="L72" s="19"/>
    </row>
    <row r="73" spans="1:12" s="20" customFormat="1" ht="21" customHeight="1">
      <c r="A73" s="27"/>
      <c r="B73" s="26" t="s">
        <v>159</v>
      </c>
      <c r="C73" s="26" t="s">
        <v>361</v>
      </c>
      <c r="D73" s="12">
        <v>60008475541</v>
      </c>
      <c r="E73" s="30" t="s">
        <v>160</v>
      </c>
      <c r="F73" s="8">
        <f>144.42/2</f>
        <v>72.21</v>
      </c>
      <c r="G73" s="8">
        <f>4.3/2</f>
        <v>2.15</v>
      </c>
      <c r="H73" s="8">
        <f>0.08/2</f>
        <v>0.04</v>
      </c>
      <c r="I73" s="9">
        <f t="shared" si="1"/>
        <v>74.4</v>
      </c>
      <c r="J73" s="19"/>
      <c r="K73" s="19"/>
      <c r="L73" s="19"/>
    </row>
    <row r="74" spans="1:12" ht="21" customHeight="1">
      <c r="A74" s="27"/>
      <c r="B74" s="26" t="s">
        <v>161</v>
      </c>
      <c r="C74" s="93"/>
      <c r="D74" s="12">
        <v>60008368817</v>
      </c>
      <c r="E74" s="30" t="s">
        <v>162</v>
      </c>
      <c r="F74" s="8">
        <v>26.87</v>
      </c>
      <c r="G74" s="8">
        <v>0.78</v>
      </c>
      <c r="H74" s="8">
        <v>0.06</v>
      </c>
      <c r="I74" s="9">
        <f t="shared" si="1"/>
        <v>27.71</v>
      </c>
      <c r="J74" s="19"/>
      <c r="K74" s="19"/>
      <c r="L74" s="19"/>
    </row>
    <row r="75" spans="1:12" ht="21" customHeight="1">
      <c r="A75" s="27"/>
      <c r="B75" s="26" t="s">
        <v>163</v>
      </c>
      <c r="C75" s="26" t="s">
        <v>372</v>
      </c>
      <c r="D75" s="12">
        <v>60091069643</v>
      </c>
      <c r="E75" s="30" t="s">
        <v>164</v>
      </c>
      <c r="F75" s="8">
        <v>21.3</v>
      </c>
      <c r="G75" s="8">
        <v>0.61</v>
      </c>
      <c r="H75" s="8">
        <v>0.06</v>
      </c>
      <c r="I75" s="9">
        <f t="shared" si="1"/>
        <v>21.97</v>
      </c>
      <c r="J75" s="19"/>
      <c r="K75" s="19"/>
      <c r="L75" s="19"/>
    </row>
    <row r="76" spans="1:12" ht="21" customHeight="1">
      <c r="A76" s="27"/>
      <c r="B76" s="26" t="s">
        <v>165</v>
      </c>
      <c r="C76" s="26" t="s">
        <v>363</v>
      </c>
      <c r="D76" s="12">
        <v>60089709450</v>
      </c>
      <c r="E76" s="30" t="s">
        <v>166</v>
      </c>
      <c r="F76" s="8">
        <v>30.17</v>
      </c>
      <c r="G76" s="8">
        <v>0.88</v>
      </c>
      <c r="H76" s="8">
        <v>0.06</v>
      </c>
      <c r="I76" s="9">
        <f t="shared" si="1"/>
        <v>31.11</v>
      </c>
      <c r="J76" s="19"/>
      <c r="K76" s="19"/>
      <c r="L76" s="19"/>
    </row>
    <row r="77" spans="1:12" ht="21" customHeight="1">
      <c r="A77" s="27"/>
      <c r="B77" s="26" t="s">
        <v>167</v>
      </c>
      <c r="C77" s="26" t="s">
        <v>362</v>
      </c>
      <c r="D77" s="12">
        <v>60089553056</v>
      </c>
      <c r="E77" s="30" t="s">
        <v>168</v>
      </c>
      <c r="F77" s="8">
        <f>301.22/2</f>
        <v>150.61</v>
      </c>
      <c r="G77" s="8">
        <f>8.97/2</f>
        <v>4.485</v>
      </c>
      <c r="H77" s="8">
        <f>0.16/2</f>
        <v>0.08</v>
      </c>
      <c r="I77" s="9">
        <f t="shared" si="1"/>
        <v>155.17500000000004</v>
      </c>
      <c r="J77" s="19"/>
      <c r="K77" s="19"/>
      <c r="L77" s="19"/>
    </row>
    <row r="78" spans="1:12" ht="21" customHeight="1">
      <c r="A78" s="27"/>
      <c r="B78" s="26" t="s">
        <v>169</v>
      </c>
      <c r="C78" s="26" t="s">
        <v>364</v>
      </c>
      <c r="D78" s="17">
        <v>60090692774</v>
      </c>
      <c r="E78" s="31" t="s">
        <v>170</v>
      </c>
      <c r="F78" s="18">
        <v>20.96</v>
      </c>
      <c r="G78" s="18">
        <v>0.61</v>
      </c>
      <c r="H78" s="18">
        <v>0.05</v>
      </c>
      <c r="I78" s="9">
        <f t="shared" si="1"/>
        <v>21.62</v>
      </c>
      <c r="J78" s="19"/>
      <c r="K78" s="19"/>
      <c r="L78" s="19"/>
    </row>
    <row r="79" spans="1:12" ht="21" customHeight="1">
      <c r="A79" s="27"/>
      <c r="B79" s="26" t="s">
        <v>171</v>
      </c>
      <c r="C79" s="93"/>
      <c r="D79" s="12">
        <v>60006579681</v>
      </c>
      <c r="E79" s="30" t="s">
        <v>172</v>
      </c>
      <c r="F79" s="8">
        <v>21.76</v>
      </c>
      <c r="G79" s="8">
        <v>0.63</v>
      </c>
      <c r="H79" s="8">
        <v>0.06</v>
      </c>
      <c r="I79" s="9">
        <f t="shared" si="1"/>
        <v>22.45</v>
      </c>
      <c r="J79" s="19"/>
      <c r="K79" s="19"/>
      <c r="L79" s="19"/>
    </row>
    <row r="80" spans="1:12" ht="21" customHeight="1">
      <c r="A80" s="27"/>
      <c r="B80" s="26" t="s">
        <v>173</v>
      </c>
      <c r="C80" s="26" t="s">
        <v>333</v>
      </c>
      <c r="D80" s="12">
        <v>60006586696</v>
      </c>
      <c r="E80" s="30" t="s">
        <v>174</v>
      </c>
      <c r="F80" s="8">
        <f>190.13/2</f>
        <v>95.065</v>
      </c>
      <c r="G80" s="8">
        <f>5.62/2</f>
        <v>2.81</v>
      </c>
      <c r="H80" s="8">
        <f>0.2/2</f>
        <v>0.1</v>
      </c>
      <c r="I80" s="9">
        <f t="shared" si="1"/>
        <v>97.975</v>
      </c>
      <c r="J80" s="19"/>
      <c r="K80" s="19"/>
      <c r="L80" s="19"/>
    </row>
    <row r="81" spans="1:12" ht="21" customHeight="1">
      <c r="A81" s="27"/>
      <c r="B81" s="26" t="s">
        <v>175</v>
      </c>
      <c r="C81" s="93"/>
      <c r="D81" s="17">
        <v>60006586704</v>
      </c>
      <c r="E81" s="31" t="s">
        <v>176</v>
      </c>
      <c r="F81" s="18">
        <f>24.17/2</f>
        <v>12.085</v>
      </c>
      <c r="G81" s="18">
        <f>0.69/2</f>
        <v>0.345</v>
      </c>
      <c r="H81" s="18">
        <f>0.08/2</f>
        <v>0.04</v>
      </c>
      <c r="I81" s="9">
        <f t="shared" si="1"/>
        <v>12.47</v>
      </c>
      <c r="J81" s="19"/>
      <c r="K81" s="19"/>
      <c r="L81" s="19"/>
    </row>
    <row r="82" spans="1:12" ht="21" customHeight="1">
      <c r="A82" s="27"/>
      <c r="B82" s="26" t="s">
        <v>177</v>
      </c>
      <c r="C82" s="26" t="s">
        <v>370</v>
      </c>
      <c r="D82" s="12">
        <v>60006587652</v>
      </c>
      <c r="E82" s="33" t="s">
        <v>178</v>
      </c>
      <c r="F82" s="15">
        <f>146.75/2</f>
        <v>73.375</v>
      </c>
      <c r="G82" s="15">
        <f>4.32/2</f>
        <v>2.16</v>
      </c>
      <c r="H82" s="15">
        <f>0.2/2</f>
        <v>0.1</v>
      </c>
      <c r="I82" s="9">
        <f t="shared" si="1"/>
        <v>75.63499999999999</v>
      </c>
      <c r="J82" s="19"/>
      <c r="K82" s="19"/>
      <c r="L82" s="19"/>
    </row>
    <row r="83" spans="1:12" s="20" customFormat="1" ht="21" customHeight="1">
      <c r="A83" s="27"/>
      <c r="B83" s="26" t="s">
        <v>179</v>
      </c>
      <c r="C83" s="26" t="s">
        <v>334</v>
      </c>
      <c r="D83" s="12">
        <v>60006587671</v>
      </c>
      <c r="E83" s="30" t="s">
        <v>180</v>
      </c>
      <c r="F83" s="8">
        <f>139.85/2</f>
        <v>69.925</v>
      </c>
      <c r="G83" s="8">
        <f>4.08/2</f>
        <v>2.04</v>
      </c>
      <c r="H83" s="8">
        <f>0.27/2</f>
        <v>0.135</v>
      </c>
      <c r="I83" s="9">
        <f t="shared" si="1"/>
        <v>72.10000000000001</v>
      </c>
      <c r="J83" s="19"/>
      <c r="K83" s="19"/>
      <c r="L83" s="19"/>
    </row>
    <row r="84" spans="1:12" s="20" customFormat="1" ht="21" customHeight="1">
      <c r="A84" s="27"/>
      <c r="B84" s="26" t="s">
        <v>181</v>
      </c>
      <c r="C84" s="26" t="s">
        <v>335</v>
      </c>
      <c r="D84" s="12">
        <v>60006593566</v>
      </c>
      <c r="E84" s="30" t="s">
        <v>182</v>
      </c>
      <c r="F84" s="8">
        <f>102.21/2</f>
        <v>51.105</v>
      </c>
      <c r="G84" s="8">
        <f>3.03/2</f>
        <v>1.515</v>
      </c>
      <c r="H84" s="8">
        <f>0.08/2</f>
        <v>0.04</v>
      </c>
      <c r="I84" s="9">
        <f t="shared" si="1"/>
        <v>52.66</v>
      </c>
      <c r="J84" s="19"/>
      <c r="K84" s="19"/>
      <c r="L84" s="19"/>
    </row>
    <row r="85" spans="1:9" ht="21" customHeight="1">
      <c r="A85" s="27"/>
      <c r="B85" s="26" t="s">
        <v>183</v>
      </c>
      <c r="C85" s="26" t="s">
        <v>336</v>
      </c>
      <c r="D85" s="12">
        <v>60006601563</v>
      </c>
      <c r="E85" s="30" t="s">
        <v>184</v>
      </c>
      <c r="F85" s="8">
        <v>69.34</v>
      </c>
      <c r="G85" s="8">
        <v>2.06</v>
      </c>
      <c r="H85" s="8">
        <v>0</v>
      </c>
      <c r="I85" s="9">
        <f t="shared" si="1"/>
        <v>71.4</v>
      </c>
    </row>
    <row r="86" spans="1:9" ht="21" customHeight="1">
      <c r="A86" s="27"/>
      <c r="B86" s="26" t="s">
        <v>185</v>
      </c>
      <c r="C86" s="26" t="s">
        <v>310</v>
      </c>
      <c r="D86" s="12">
        <v>60006630551</v>
      </c>
      <c r="E86" s="30" t="s">
        <v>186</v>
      </c>
      <c r="F86" s="8">
        <f>167.92/2</f>
        <v>83.96</v>
      </c>
      <c r="G86" s="8">
        <f>4.95/2</f>
        <v>2.475</v>
      </c>
      <c r="H86" s="8">
        <f>0.21/2</f>
        <v>0.105</v>
      </c>
      <c r="I86" s="9">
        <f t="shared" si="1"/>
        <v>86.53999999999999</v>
      </c>
    </row>
    <row r="87" spans="1:9" ht="21" customHeight="1">
      <c r="A87" s="27"/>
      <c r="B87" s="26" t="s">
        <v>187</v>
      </c>
      <c r="C87" s="26" t="s">
        <v>287</v>
      </c>
      <c r="D87" s="12">
        <v>60006631759</v>
      </c>
      <c r="E87" s="30" t="s">
        <v>188</v>
      </c>
      <c r="F87" s="8">
        <f>104.17/2</f>
        <v>52.085</v>
      </c>
      <c r="G87" s="8">
        <f>3.09/2</f>
        <v>1.545</v>
      </c>
      <c r="H87" s="8">
        <f>0.08/2</f>
        <v>0.04</v>
      </c>
      <c r="I87" s="9">
        <f t="shared" si="1"/>
        <v>53.67</v>
      </c>
    </row>
    <row r="88" spans="1:12" s="20" customFormat="1" ht="21" customHeight="1">
      <c r="A88" s="27"/>
      <c r="B88" s="26" t="s">
        <v>189</v>
      </c>
      <c r="C88" s="26" t="s">
        <v>339</v>
      </c>
      <c r="D88" s="12">
        <v>60006631974</v>
      </c>
      <c r="E88" s="30" t="s">
        <v>190</v>
      </c>
      <c r="F88" s="8">
        <v>117.6</v>
      </c>
      <c r="G88" s="8">
        <v>3.5</v>
      </c>
      <c r="H88" s="8">
        <v>0.06</v>
      </c>
      <c r="I88" s="9">
        <f t="shared" si="1"/>
        <v>121.16</v>
      </c>
      <c r="J88" s="19"/>
      <c r="K88" s="19"/>
      <c r="L88" s="19"/>
    </row>
    <row r="89" spans="1:12" s="29" customFormat="1" ht="21" customHeight="1">
      <c r="A89" s="27"/>
      <c r="B89" s="26" t="s">
        <v>191</v>
      </c>
      <c r="C89" s="26" t="s">
        <v>356</v>
      </c>
      <c r="D89" s="12">
        <v>60007843337</v>
      </c>
      <c r="E89" s="30" t="s">
        <v>192</v>
      </c>
      <c r="F89" s="8">
        <f>120.33/2</f>
        <v>60.165</v>
      </c>
      <c r="G89" s="8">
        <f>3.58/2</f>
        <v>1.79</v>
      </c>
      <c r="H89" s="8">
        <f>0.08/2</f>
        <v>0.04</v>
      </c>
      <c r="I89" s="9">
        <f t="shared" si="1"/>
        <v>61.995</v>
      </c>
      <c r="J89" s="19"/>
      <c r="K89" s="19"/>
      <c r="L89" s="19"/>
    </row>
    <row r="90" spans="1:12" s="29" customFormat="1" ht="21" customHeight="1">
      <c r="A90" s="27"/>
      <c r="B90" s="26" t="s">
        <v>193</v>
      </c>
      <c r="C90" s="26" t="s">
        <v>305</v>
      </c>
      <c r="D90" s="12">
        <v>60006631992</v>
      </c>
      <c r="E90" s="30" t="s">
        <v>194</v>
      </c>
      <c r="F90" s="8">
        <v>208.84</v>
      </c>
      <c r="G90" s="8">
        <v>6.22</v>
      </c>
      <c r="H90" s="8">
        <v>0.1</v>
      </c>
      <c r="I90" s="9">
        <f t="shared" si="1"/>
        <v>215.16</v>
      </c>
      <c r="J90" s="19"/>
      <c r="K90" s="19"/>
      <c r="L90" s="19"/>
    </row>
    <row r="91" spans="1:12" ht="21" customHeight="1">
      <c r="A91" s="27"/>
      <c r="B91" s="26" t="s">
        <v>195</v>
      </c>
      <c r="C91" s="26" t="s">
        <v>341</v>
      </c>
      <c r="D91" s="12">
        <v>60006632013</v>
      </c>
      <c r="E91" s="30" t="s">
        <v>196</v>
      </c>
      <c r="F91" s="8">
        <v>9.13</v>
      </c>
      <c r="G91" s="8">
        <v>0.26</v>
      </c>
      <c r="H91" s="8">
        <v>0.04</v>
      </c>
      <c r="I91" s="9">
        <f t="shared" si="1"/>
        <v>9.43</v>
      </c>
      <c r="J91" s="19"/>
      <c r="K91" s="19"/>
      <c r="L91" s="19"/>
    </row>
    <row r="92" spans="1:9" ht="21" customHeight="1">
      <c r="A92" s="27"/>
      <c r="B92" s="26" t="s">
        <v>197</v>
      </c>
      <c r="C92" s="26" t="s">
        <v>288</v>
      </c>
      <c r="D92" s="12">
        <v>60006632028</v>
      </c>
      <c r="E92" s="30" t="s">
        <v>198</v>
      </c>
      <c r="F92" s="8">
        <v>253.99</v>
      </c>
      <c r="G92" s="8">
        <v>7.57</v>
      </c>
      <c r="H92" s="8">
        <v>0.12</v>
      </c>
      <c r="I92" s="9">
        <f t="shared" si="1"/>
        <v>261.68</v>
      </c>
    </row>
    <row r="93" spans="1:9" ht="21" customHeight="1">
      <c r="A93" s="27"/>
      <c r="B93" s="26" t="s">
        <v>199</v>
      </c>
      <c r="C93" s="26" t="s">
        <v>342</v>
      </c>
      <c r="D93" s="12">
        <v>60006632034</v>
      </c>
      <c r="E93" s="30" t="s">
        <v>200</v>
      </c>
      <c r="F93" s="8">
        <v>23.12</v>
      </c>
      <c r="G93" s="8">
        <v>0.67</v>
      </c>
      <c r="H93" s="8">
        <v>0.05</v>
      </c>
      <c r="I93" s="9">
        <f t="shared" si="1"/>
        <v>23.840000000000003</v>
      </c>
    </row>
    <row r="94" spans="1:9" ht="21" customHeight="1">
      <c r="A94" s="27"/>
      <c r="B94" s="26" t="s">
        <v>201</v>
      </c>
      <c r="C94" s="26" t="s">
        <v>343</v>
      </c>
      <c r="D94" s="12">
        <v>60006637176</v>
      </c>
      <c r="E94" s="30" t="s">
        <v>202</v>
      </c>
      <c r="F94" s="8">
        <v>9.92</v>
      </c>
      <c r="G94" s="8">
        <v>0.29</v>
      </c>
      <c r="H94" s="8">
        <v>0.01</v>
      </c>
      <c r="I94" s="9">
        <f t="shared" si="1"/>
        <v>10.219999999999999</v>
      </c>
    </row>
    <row r="95" spans="1:9" ht="21" customHeight="1">
      <c r="A95" s="27"/>
      <c r="B95" s="26" t="s">
        <v>203</v>
      </c>
      <c r="C95" s="93"/>
      <c r="D95" s="12">
        <v>60006637235</v>
      </c>
      <c r="E95" s="30" t="s">
        <v>204</v>
      </c>
      <c r="F95" s="8">
        <f>23.83/2</f>
        <v>11.915</v>
      </c>
      <c r="G95" s="8">
        <f>0.68/2</f>
        <v>0.34</v>
      </c>
      <c r="H95" s="8">
        <f>0.07/2</f>
        <v>0.035</v>
      </c>
      <c r="I95" s="9">
        <f t="shared" si="1"/>
        <v>12.29</v>
      </c>
    </row>
    <row r="96" spans="1:9" ht="21" customHeight="1">
      <c r="A96" s="27"/>
      <c r="B96" s="26" t="s">
        <v>205</v>
      </c>
      <c r="C96" s="26" t="s">
        <v>306</v>
      </c>
      <c r="D96" s="12">
        <v>60006637714</v>
      </c>
      <c r="E96" s="30" t="s">
        <v>206</v>
      </c>
      <c r="F96" s="8">
        <f>63.33/2</f>
        <v>31.665</v>
      </c>
      <c r="G96" s="8">
        <f>1.81/2</f>
        <v>0.905</v>
      </c>
      <c r="H96" s="8">
        <f>0.21/2</f>
        <v>0.105</v>
      </c>
      <c r="I96" s="9">
        <f t="shared" si="1"/>
        <v>32.675</v>
      </c>
    </row>
    <row r="97" spans="1:9" ht="21" customHeight="1">
      <c r="A97" s="27"/>
      <c r="B97" s="26" t="s">
        <v>207</v>
      </c>
      <c r="C97" s="93"/>
      <c r="D97" s="12">
        <v>60006642108</v>
      </c>
      <c r="E97" s="30" t="s">
        <v>208</v>
      </c>
      <c r="F97" s="8">
        <f>23.83/2</f>
        <v>11.915</v>
      </c>
      <c r="G97" s="8">
        <f>0.68/2</f>
        <v>0.34</v>
      </c>
      <c r="H97" s="8">
        <f>0.07/2</f>
        <v>0.035</v>
      </c>
      <c r="I97" s="9">
        <f t="shared" si="1"/>
        <v>12.29</v>
      </c>
    </row>
    <row r="98" spans="1:9" ht="21" customHeight="1">
      <c r="A98" s="27"/>
      <c r="B98" s="26" t="s">
        <v>209</v>
      </c>
      <c r="C98" s="93"/>
      <c r="D98" s="12">
        <v>60006642114</v>
      </c>
      <c r="E98" s="30" t="s">
        <v>210</v>
      </c>
      <c r="F98" s="8">
        <f>23.83/2</f>
        <v>11.915</v>
      </c>
      <c r="G98" s="8">
        <f>0.68/2</f>
        <v>0.34</v>
      </c>
      <c r="H98" s="8">
        <f>0.07/2</f>
        <v>0.035</v>
      </c>
      <c r="I98" s="9">
        <f t="shared" si="1"/>
        <v>12.29</v>
      </c>
    </row>
    <row r="99" spans="1:9" ht="21" customHeight="1">
      <c r="A99" s="27"/>
      <c r="B99" s="26" t="s">
        <v>211</v>
      </c>
      <c r="C99" s="26" t="s">
        <v>290</v>
      </c>
      <c r="D99" s="12">
        <v>60006644426</v>
      </c>
      <c r="E99" s="30" t="s">
        <v>212</v>
      </c>
      <c r="F99" s="8">
        <v>47.84</v>
      </c>
      <c r="G99" s="8">
        <v>1.41</v>
      </c>
      <c r="H99" s="8">
        <v>0.06</v>
      </c>
      <c r="I99" s="9">
        <f t="shared" si="1"/>
        <v>49.31</v>
      </c>
    </row>
    <row r="100" spans="1:9" ht="21" customHeight="1">
      <c r="A100" s="27"/>
      <c r="B100" s="26" t="s">
        <v>213</v>
      </c>
      <c r="C100" s="93"/>
      <c r="D100" s="12">
        <v>60006644431</v>
      </c>
      <c r="E100" s="30" t="s">
        <v>214</v>
      </c>
      <c r="F100" s="8">
        <v>72.19</v>
      </c>
      <c r="G100" s="8">
        <v>2.14</v>
      </c>
      <c r="H100" s="8">
        <v>0.06</v>
      </c>
      <c r="I100" s="9">
        <f t="shared" si="1"/>
        <v>74.39</v>
      </c>
    </row>
    <row r="101" spans="1:9" ht="21" customHeight="1">
      <c r="A101" s="27"/>
      <c r="B101" s="26" t="s">
        <v>215</v>
      </c>
      <c r="C101" s="26" t="s">
        <v>344</v>
      </c>
      <c r="D101" s="12">
        <v>60006644654</v>
      </c>
      <c r="E101" s="30" t="s">
        <v>216</v>
      </c>
      <c r="F101" s="18">
        <f>34.51/2</f>
        <v>17.255</v>
      </c>
      <c r="G101" s="18">
        <f>1.01/2</f>
        <v>0.505</v>
      </c>
      <c r="H101" s="18">
        <f>0.07/2</f>
        <v>0.035</v>
      </c>
      <c r="I101" s="87">
        <f t="shared" si="1"/>
        <v>17.794999999999998</v>
      </c>
    </row>
    <row r="102" spans="1:9" ht="21" customHeight="1">
      <c r="A102" s="27"/>
      <c r="B102" s="26" t="s">
        <v>217</v>
      </c>
      <c r="C102" s="93"/>
      <c r="D102" s="12">
        <v>60007182237</v>
      </c>
      <c r="E102" s="30" t="s">
        <v>218</v>
      </c>
      <c r="F102" s="8"/>
      <c r="G102" s="8"/>
      <c r="H102" s="8"/>
      <c r="I102" s="9">
        <f t="shared" si="1"/>
        <v>0</v>
      </c>
    </row>
    <row r="103" spans="1:9" ht="21" customHeight="1">
      <c r="A103" s="27"/>
      <c r="B103" s="26" t="s">
        <v>219</v>
      </c>
      <c r="C103" s="26" t="s">
        <v>354</v>
      </c>
      <c r="D103" s="12">
        <v>60007843211</v>
      </c>
      <c r="E103" s="30" t="s">
        <v>220</v>
      </c>
      <c r="F103" s="8">
        <v>24.9</v>
      </c>
      <c r="G103" s="8">
        <v>0.72</v>
      </c>
      <c r="H103" s="8">
        <v>0.06</v>
      </c>
      <c r="I103" s="9">
        <f t="shared" si="1"/>
        <v>25.679999999999996</v>
      </c>
    </row>
    <row r="104" spans="1:9" ht="21" customHeight="1">
      <c r="A104" s="27"/>
      <c r="B104" s="26" t="s">
        <v>221</v>
      </c>
      <c r="C104" s="26" t="s">
        <v>355</v>
      </c>
      <c r="D104" s="12">
        <v>60007843225</v>
      </c>
      <c r="E104" s="30" t="s">
        <v>222</v>
      </c>
      <c r="F104" s="8">
        <v>10.22</v>
      </c>
      <c r="G104" s="8">
        <v>0.28</v>
      </c>
      <c r="H104" s="8">
        <v>0.06</v>
      </c>
      <c r="I104" s="9">
        <f t="shared" si="1"/>
        <v>10.56</v>
      </c>
    </row>
    <row r="105" spans="1:9" ht="21" customHeight="1">
      <c r="A105" s="27"/>
      <c r="B105" s="26" t="s">
        <v>223</v>
      </c>
      <c r="C105" s="26" t="s">
        <v>347</v>
      </c>
      <c r="D105" s="12">
        <v>60007211343</v>
      </c>
      <c r="E105" s="30" t="s">
        <v>224</v>
      </c>
      <c r="F105" s="8">
        <f>10.17/2</f>
        <v>5.085</v>
      </c>
      <c r="G105" s="8">
        <f>0.31/2</f>
        <v>0.155</v>
      </c>
      <c r="H105" s="8">
        <v>0</v>
      </c>
      <c r="I105" s="9">
        <f t="shared" si="1"/>
        <v>5.24</v>
      </c>
    </row>
    <row r="106" spans="1:9" ht="21" customHeight="1">
      <c r="A106" s="27"/>
      <c r="B106" s="26" t="s">
        <v>225</v>
      </c>
      <c r="C106" s="26" t="s">
        <v>346</v>
      </c>
      <c r="D106" s="12">
        <v>60007211339</v>
      </c>
      <c r="E106" s="30" t="s">
        <v>226</v>
      </c>
      <c r="F106" s="8">
        <f>96.21/2</f>
        <v>48.105</v>
      </c>
      <c r="G106" s="8">
        <f>2.8/2</f>
        <v>1.4</v>
      </c>
      <c r="H106" s="8">
        <f>0.21/2</f>
        <v>0.105</v>
      </c>
      <c r="I106" s="9">
        <f t="shared" si="1"/>
        <v>49.60999999999999</v>
      </c>
    </row>
    <row r="107" spans="1:9" ht="21" customHeight="1">
      <c r="A107" s="27"/>
      <c r="B107" s="26" t="s">
        <v>227</v>
      </c>
      <c r="C107" s="26" t="s">
        <v>291</v>
      </c>
      <c r="D107" s="12">
        <v>60007239731</v>
      </c>
      <c r="E107" s="30" t="s">
        <v>228</v>
      </c>
      <c r="F107" s="8">
        <f>214.97/2</f>
        <v>107.485</v>
      </c>
      <c r="G107" s="8">
        <f>6.42/2</f>
        <v>3.21</v>
      </c>
      <c r="H107" s="8">
        <f>0.07/2</f>
        <v>0.035</v>
      </c>
      <c r="I107" s="9">
        <f t="shared" si="1"/>
        <v>110.72999999999999</v>
      </c>
    </row>
    <row r="108" spans="1:9" ht="21" customHeight="1">
      <c r="A108" s="27"/>
      <c r="B108" s="26" t="s">
        <v>229</v>
      </c>
      <c r="C108" s="26" t="s">
        <v>348</v>
      </c>
      <c r="D108" s="12">
        <v>60007483419</v>
      </c>
      <c r="E108" s="30" t="s">
        <v>230</v>
      </c>
      <c r="F108" s="8">
        <f>108.74/2</f>
        <v>54.37</v>
      </c>
      <c r="G108" s="8">
        <f>3.23/2</f>
        <v>1.615</v>
      </c>
      <c r="H108" s="8">
        <f>0.07/2</f>
        <v>0.035</v>
      </c>
      <c r="I108" s="9">
        <f t="shared" si="1"/>
        <v>56.019999999999996</v>
      </c>
    </row>
    <row r="109" spans="1:9" ht="21" customHeight="1">
      <c r="A109" s="27"/>
      <c r="B109" s="26" t="s">
        <v>231</v>
      </c>
      <c r="C109" s="26" t="s">
        <v>301</v>
      </c>
      <c r="D109" s="12">
        <v>60006579638</v>
      </c>
      <c r="E109" s="30" t="s">
        <v>232</v>
      </c>
      <c r="F109" s="8">
        <v>12.25</v>
      </c>
      <c r="G109" s="8">
        <v>0.34</v>
      </c>
      <c r="H109" s="8">
        <v>0.06</v>
      </c>
      <c r="I109" s="9">
        <f t="shared" si="1"/>
        <v>12.65</v>
      </c>
    </row>
    <row r="110" spans="1:9" ht="21" customHeight="1">
      <c r="A110" s="27"/>
      <c r="B110" s="26" t="s">
        <v>233</v>
      </c>
      <c r="C110" s="26" t="s">
        <v>349</v>
      </c>
      <c r="D110" s="12">
        <v>60006579657</v>
      </c>
      <c r="E110" s="30" t="s">
        <v>234</v>
      </c>
      <c r="F110" s="8">
        <v>88.44</v>
      </c>
      <c r="G110" s="8">
        <v>2.63</v>
      </c>
      <c r="H110" s="8">
        <v>0.06</v>
      </c>
      <c r="I110" s="9">
        <f t="shared" si="1"/>
        <v>91.13</v>
      </c>
    </row>
    <row r="111" spans="1:9" ht="21" customHeight="1">
      <c r="A111" s="27"/>
      <c r="B111" s="26" t="s">
        <v>235</v>
      </c>
      <c r="C111" s="93"/>
      <c r="D111" s="12">
        <v>60006579676</v>
      </c>
      <c r="E111" s="30" t="s">
        <v>236</v>
      </c>
      <c r="F111" s="8">
        <v>13.83</v>
      </c>
      <c r="G111" s="8">
        <v>0.39</v>
      </c>
      <c r="H111" s="8">
        <v>0.06</v>
      </c>
      <c r="I111" s="9">
        <f t="shared" si="1"/>
        <v>14.280000000000001</v>
      </c>
    </row>
    <row r="112" spans="1:9" ht="21" customHeight="1">
      <c r="A112" s="27"/>
      <c r="B112" s="26" t="s">
        <v>237</v>
      </c>
      <c r="C112" s="26" t="s">
        <v>351</v>
      </c>
      <c r="D112" s="12">
        <v>60007631681</v>
      </c>
      <c r="E112" s="30" t="s">
        <v>238</v>
      </c>
      <c r="F112" s="8">
        <v>21.88</v>
      </c>
      <c r="G112" s="8">
        <v>0.63</v>
      </c>
      <c r="H112" s="8">
        <v>0.06</v>
      </c>
      <c r="I112" s="9">
        <f t="shared" si="1"/>
        <v>22.569999999999997</v>
      </c>
    </row>
    <row r="113" spans="1:9" ht="21" customHeight="1">
      <c r="A113" s="27"/>
      <c r="B113" s="26" t="s">
        <v>239</v>
      </c>
      <c r="C113" s="26" t="s">
        <v>357</v>
      </c>
      <c r="D113" s="12">
        <v>60007848373</v>
      </c>
      <c r="E113" s="30" t="s">
        <v>240</v>
      </c>
      <c r="F113" s="8">
        <f>221.27/2</f>
        <v>110.635</v>
      </c>
      <c r="G113" s="8">
        <f>6.54/2</f>
        <v>3.27</v>
      </c>
      <c r="H113" s="8">
        <f>0.22/2</f>
        <v>0.11</v>
      </c>
      <c r="I113" s="9">
        <f t="shared" si="1"/>
        <v>114.015</v>
      </c>
    </row>
    <row r="114" spans="1:9" ht="21" customHeight="1">
      <c r="A114" s="27"/>
      <c r="B114" s="26" t="s">
        <v>241</v>
      </c>
      <c r="C114" s="26" t="s">
        <v>338</v>
      </c>
      <c r="D114" s="12">
        <v>60006631880</v>
      </c>
      <c r="E114" s="30" t="s">
        <v>242</v>
      </c>
      <c r="F114" s="8">
        <f>57.73/2</f>
        <v>28.865</v>
      </c>
      <c r="G114" s="8">
        <f>1.7/2</f>
        <v>0.85</v>
      </c>
      <c r="H114" s="8">
        <f>0.08/2</f>
        <v>0.04</v>
      </c>
      <c r="I114" s="9">
        <f t="shared" si="1"/>
        <v>29.755</v>
      </c>
    </row>
    <row r="115" spans="1:9" ht="21" customHeight="1">
      <c r="A115" s="27"/>
      <c r="B115" s="26" t="s">
        <v>243</v>
      </c>
      <c r="C115" s="26" t="s">
        <v>320</v>
      </c>
      <c r="D115" s="12">
        <v>60006631920</v>
      </c>
      <c r="E115" s="30" t="s">
        <v>244</v>
      </c>
      <c r="F115" s="8">
        <f>61.78+(114.6572)</f>
        <v>176.43720000000002</v>
      </c>
      <c r="G115" s="8">
        <f>1.83+(3.38/2)</f>
        <v>3.52</v>
      </c>
      <c r="H115" s="8">
        <f>0.06+(0.14/2)</f>
        <v>0.13</v>
      </c>
      <c r="I115" s="9">
        <f t="shared" si="1"/>
        <v>180.08720000000002</v>
      </c>
    </row>
    <row r="116" spans="1:9" ht="21" customHeight="1">
      <c r="A116" s="27"/>
      <c r="B116" s="26" t="s">
        <v>245</v>
      </c>
      <c r="C116" s="26" t="s">
        <v>340</v>
      </c>
      <c r="D116" s="12">
        <v>60006631987</v>
      </c>
      <c r="E116" s="30" t="s">
        <v>246</v>
      </c>
      <c r="F116" s="8">
        <f>501.02/2</f>
        <v>250.51</v>
      </c>
      <c r="G116" s="8">
        <f>14.94/2</f>
        <v>7.47</v>
      </c>
      <c r="H116" s="8">
        <f>0.21/2</f>
        <v>0.105</v>
      </c>
      <c r="I116" s="9">
        <f t="shared" si="1"/>
        <v>258.08500000000004</v>
      </c>
    </row>
    <row r="117" spans="1:9" ht="21" customHeight="1">
      <c r="A117" s="27"/>
      <c r="B117" s="26" t="s">
        <v>247</v>
      </c>
      <c r="C117" s="26" t="s">
        <v>373</v>
      </c>
      <c r="D117" s="12">
        <v>60006632009</v>
      </c>
      <c r="E117" s="30" t="s">
        <v>248</v>
      </c>
      <c r="F117" s="8">
        <v>200.96</v>
      </c>
      <c r="G117" s="8">
        <v>5.99</v>
      </c>
      <c r="H117" s="8">
        <v>0.09</v>
      </c>
      <c r="I117" s="9">
        <f t="shared" si="1"/>
        <v>207.04000000000002</v>
      </c>
    </row>
    <row r="118" spans="1:9" ht="21" customHeight="1">
      <c r="A118" s="27"/>
      <c r="B118" s="26" t="s">
        <v>249</v>
      </c>
      <c r="C118" s="26" t="s">
        <v>350</v>
      </c>
      <c r="D118" s="12">
        <v>60007611240</v>
      </c>
      <c r="E118" s="30" t="s">
        <v>250</v>
      </c>
      <c r="F118" s="8">
        <f>353.57/2</f>
        <v>176.785</v>
      </c>
      <c r="G118" s="8">
        <f>10.58/2</f>
        <v>5.29</v>
      </c>
      <c r="H118" s="8">
        <f>0.06/2</f>
        <v>0.03</v>
      </c>
      <c r="I118" s="9">
        <f t="shared" si="1"/>
        <v>182.105</v>
      </c>
    </row>
    <row r="119" spans="1:9" ht="21" customHeight="1">
      <c r="A119" s="27"/>
      <c r="B119" s="26" t="s">
        <v>251</v>
      </c>
      <c r="C119" s="26" t="s">
        <v>337</v>
      </c>
      <c r="D119" s="12">
        <v>60006613294</v>
      </c>
      <c r="E119" s="30" t="s">
        <v>252</v>
      </c>
      <c r="F119" s="8">
        <f>75.65/2</f>
        <v>37.825</v>
      </c>
      <c r="G119" s="8">
        <f>2.27/2</f>
        <v>1.135</v>
      </c>
      <c r="H119" s="8">
        <v>0</v>
      </c>
      <c r="I119" s="9">
        <f t="shared" si="1"/>
        <v>38.96</v>
      </c>
    </row>
    <row r="120" spans="1:9" ht="21" customHeight="1">
      <c r="A120" s="27"/>
      <c r="B120" s="26" t="s">
        <v>253</v>
      </c>
      <c r="C120" s="26" t="s">
        <v>303</v>
      </c>
      <c r="D120" s="12">
        <v>60006631725</v>
      </c>
      <c r="E120" s="30" t="s">
        <v>254</v>
      </c>
      <c r="F120" s="8">
        <f>248.85/2</f>
        <v>124.425</v>
      </c>
      <c r="G120" s="8">
        <f>7.43/2</f>
        <v>3.715</v>
      </c>
      <c r="H120" s="8">
        <f>0.07/2</f>
        <v>0.035</v>
      </c>
      <c r="I120" s="9">
        <f aca="true" t="shared" si="2" ref="I120:I130">SUM(F120:H120)</f>
        <v>128.17499999999998</v>
      </c>
    </row>
    <row r="121" spans="1:9" ht="21" customHeight="1">
      <c r="A121" s="27"/>
      <c r="B121" s="26" t="s">
        <v>255</v>
      </c>
      <c r="C121" s="26" t="s">
        <v>304</v>
      </c>
      <c r="D121" s="12">
        <v>60006631818</v>
      </c>
      <c r="E121" s="30" t="s">
        <v>256</v>
      </c>
      <c r="F121" s="8">
        <f>11.27/2+13.57/2</f>
        <v>12.42</v>
      </c>
      <c r="G121" s="8">
        <f>0.32/2+0.38/2</f>
        <v>0.35</v>
      </c>
      <c r="H121" s="8">
        <f>0.05/2+0.06/2</f>
        <v>0.055</v>
      </c>
      <c r="I121" s="9">
        <f t="shared" si="2"/>
        <v>12.825</v>
      </c>
    </row>
    <row r="122" spans="1:9" ht="21" customHeight="1">
      <c r="A122" s="28"/>
      <c r="B122" s="25" t="s">
        <v>257</v>
      </c>
      <c r="C122" s="95"/>
      <c r="D122" s="14">
        <v>60006631824</v>
      </c>
      <c r="E122" s="45" t="s">
        <v>258</v>
      </c>
      <c r="F122" s="15">
        <f>906.69*0.25</f>
        <v>226.6725</v>
      </c>
      <c r="G122" s="15">
        <f>27.13*0.25</f>
        <v>6.7825</v>
      </c>
      <c r="H122" s="15">
        <f>0.18*0.25</f>
        <v>0.045</v>
      </c>
      <c r="I122" s="9">
        <f t="shared" si="2"/>
        <v>233.5</v>
      </c>
    </row>
    <row r="123" spans="1:9" ht="21" customHeight="1">
      <c r="A123" s="28"/>
      <c r="B123" s="25" t="s">
        <v>259</v>
      </c>
      <c r="C123" s="25" t="s">
        <v>345</v>
      </c>
      <c r="D123" s="14">
        <v>60006872372</v>
      </c>
      <c r="E123" s="45" t="s">
        <v>260</v>
      </c>
      <c r="F123" s="15">
        <v>25.58</v>
      </c>
      <c r="G123" s="15">
        <v>0.74</v>
      </c>
      <c r="H123" s="15">
        <v>0.06</v>
      </c>
      <c r="I123" s="9">
        <f t="shared" si="2"/>
        <v>26.379999999999995</v>
      </c>
    </row>
    <row r="124" spans="1:9" ht="21" customHeight="1">
      <c r="A124" s="28"/>
      <c r="B124" s="25" t="s">
        <v>261</v>
      </c>
      <c r="C124" s="25" t="s">
        <v>321</v>
      </c>
      <c r="D124" s="14">
        <v>60006974384</v>
      </c>
      <c r="E124" s="45" t="s">
        <v>262</v>
      </c>
      <c r="F124" s="15">
        <f>102.37/2</f>
        <v>51.185</v>
      </c>
      <c r="G124" s="15">
        <f>3.04/2</f>
        <v>1.52</v>
      </c>
      <c r="H124" s="15">
        <f>0.07/2</f>
        <v>0.035</v>
      </c>
      <c r="I124" s="9">
        <f t="shared" si="2"/>
        <v>52.74</v>
      </c>
    </row>
    <row r="125" spans="1:9" ht="21" customHeight="1">
      <c r="A125" s="28"/>
      <c r="B125" s="25" t="s">
        <v>263</v>
      </c>
      <c r="C125" s="25" t="s">
        <v>368</v>
      </c>
      <c r="D125" s="14">
        <v>60006581324</v>
      </c>
      <c r="E125" s="45" t="s">
        <v>264</v>
      </c>
      <c r="F125" s="15">
        <v>378.04</v>
      </c>
      <c r="G125" s="15">
        <v>11.3</v>
      </c>
      <c r="H125" s="15">
        <v>0.1</v>
      </c>
      <c r="I125" s="9">
        <f t="shared" si="2"/>
        <v>389.44000000000005</v>
      </c>
    </row>
    <row r="126" spans="1:9" ht="21" customHeight="1">
      <c r="A126" s="28"/>
      <c r="B126" s="25" t="s">
        <v>265</v>
      </c>
      <c r="C126" s="25" t="s">
        <v>352</v>
      </c>
      <c r="D126" s="14">
        <v>60007651627</v>
      </c>
      <c r="E126" s="45" t="s">
        <v>266</v>
      </c>
      <c r="F126" s="15">
        <v>18.88</v>
      </c>
      <c r="G126" s="15">
        <v>0.54</v>
      </c>
      <c r="H126" s="15">
        <v>0.06</v>
      </c>
      <c r="I126" s="9">
        <f t="shared" si="2"/>
        <v>19.479999999999997</v>
      </c>
    </row>
    <row r="127" spans="1:9" ht="21" customHeight="1">
      <c r="A127" s="28"/>
      <c r="B127" s="25" t="s">
        <v>267</v>
      </c>
      <c r="C127" s="95"/>
      <c r="D127" s="14">
        <v>83007351147</v>
      </c>
      <c r="E127" s="45" t="s">
        <v>268</v>
      </c>
      <c r="F127" s="15">
        <v>11.88</v>
      </c>
      <c r="G127" s="15">
        <v>0.33</v>
      </c>
      <c r="H127" s="15">
        <v>0.06</v>
      </c>
      <c r="I127" s="9">
        <f t="shared" si="2"/>
        <v>12.270000000000001</v>
      </c>
    </row>
    <row r="128" spans="1:9" ht="21" customHeight="1">
      <c r="A128" s="28"/>
      <c r="B128" s="25" t="s">
        <v>269</v>
      </c>
      <c r="C128" s="25"/>
      <c r="D128" s="14">
        <v>83007705623</v>
      </c>
      <c r="E128" s="45" t="s">
        <v>270</v>
      </c>
      <c r="F128" s="15">
        <v>20.96</v>
      </c>
      <c r="G128" s="15">
        <v>0.6</v>
      </c>
      <c r="H128" s="15">
        <v>0.06</v>
      </c>
      <c r="I128" s="9">
        <f t="shared" si="2"/>
        <v>21.62</v>
      </c>
    </row>
    <row r="129" spans="1:9" ht="21" customHeight="1">
      <c r="A129" s="28"/>
      <c r="B129" s="25" t="s">
        <v>271</v>
      </c>
      <c r="C129" s="25"/>
      <c r="D129" s="14">
        <v>83007812488</v>
      </c>
      <c r="E129" s="45" t="s">
        <v>272</v>
      </c>
      <c r="F129" s="15">
        <v>51.3</v>
      </c>
      <c r="G129" s="15">
        <v>1.51</v>
      </c>
      <c r="H129" s="15">
        <v>0.06</v>
      </c>
      <c r="I129" s="9">
        <f t="shared" si="2"/>
        <v>52.87</v>
      </c>
    </row>
    <row r="130" spans="1:9" ht="21" customHeight="1">
      <c r="A130" s="28"/>
      <c r="B130" s="25" t="s">
        <v>273</v>
      </c>
      <c r="C130" s="25"/>
      <c r="D130" s="14">
        <v>83007946440</v>
      </c>
      <c r="E130" s="45" t="s">
        <v>274</v>
      </c>
      <c r="F130" s="15"/>
      <c r="G130" s="15"/>
      <c r="H130" s="15"/>
      <c r="I130" s="9">
        <f t="shared" si="2"/>
        <v>0</v>
      </c>
    </row>
    <row r="131" spans="1:9" ht="21" customHeight="1" thickBot="1">
      <c r="A131" s="10" t="s">
        <v>0</v>
      </c>
      <c r="B131" s="24"/>
      <c r="C131" s="24"/>
      <c r="D131" s="13"/>
      <c r="E131" s="13"/>
      <c r="F131" s="34"/>
      <c r="G131" s="34"/>
      <c r="H131" s="34"/>
      <c r="I131" s="38">
        <f>SUM(I8:I130)</f>
        <v>27825.65720000002</v>
      </c>
    </row>
    <row r="132" ht="13.5" thickTop="1"/>
  </sheetData>
  <sheetProtection/>
  <mergeCells count="3">
    <mergeCell ref="G2:I2"/>
    <mergeCell ref="G4:I4"/>
    <mergeCell ref="H3:I3"/>
  </mergeCells>
  <printOptions horizontalCentered="1"/>
  <pageMargins left="0.3937007874015748" right="0.3937007874015748" top="0.5905511811023623" bottom="0.5905511811023623" header="0" footer="0"/>
  <pageSetup fitToHeight="0" fitToWidth="1" horizontalDpi="600" verticalDpi="600" orientation="portrait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I131"/>
  <sheetViews>
    <sheetView view="pageBreakPreview" zoomScale="75" zoomScaleSheetLayoutView="75" zoomScalePageLayoutView="0" workbookViewId="0" topLeftCell="A40">
      <selection activeCell="A56" sqref="A54:IV56"/>
    </sheetView>
  </sheetViews>
  <sheetFormatPr defaultColWidth="11.421875" defaultRowHeight="12.75"/>
  <cols>
    <col min="1" max="1" width="12.7109375" style="52" customWidth="1"/>
    <col min="2" max="2" width="85.140625" style="54" customWidth="1"/>
    <col min="3" max="3" width="103.140625" style="54" customWidth="1"/>
    <col min="4" max="4" width="19.421875" style="1" customWidth="1"/>
    <col min="5" max="5" width="33.28125" style="1" customWidth="1"/>
    <col min="6" max="6" width="22.57421875" style="52" customWidth="1"/>
    <col min="7" max="8" width="18.7109375" style="52" customWidth="1"/>
    <col min="9" max="9" width="18.421875" style="52" customWidth="1"/>
    <col min="10" max="10" width="11.421875" style="52" customWidth="1"/>
    <col min="11" max="11" width="11.57421875" style="52" bestFit="1" customWidth="1"/>
    <col min="12" max="16384" width="11.421875" style="52" customWidth="1"/>
  </cols>
  <sheetData>
    <row r="1" ht="15.75" customHeight="1"/>
    <row r="2" spans="6:9" ht="42.75" customHeight="1">
      <c r="F2" s="101" t="s">
        <v>116</v>
      </c>
      <c r="G2" s="101"/>
      <c r="H2" s="101"/>
      <c r="I2" s="101"/>
    </row>
    <row r="3" spans="7:9" ht="13.5" customHeight="1">
      <c r="G3" s="100"/>
      <c r="H3" s="100"/>
      <c r="I3" s="100"/>
    </row>
    <row r="4" spans="6:9" ht="21.75" customHeight="1">
      <c r="F4" s="99" t="s">
        <v>12</v>
      </c>
      <c r="G4" s="99"/>
      <c r="H4" s="99"/>
      <c r="I4" s="99"/>
    </row>
    <row r="5" ht="15.75" customHeight="1"/>
    <row r="6" spans="1:8" ht="9" customHeight="1" thickBot="1">
      <c r="A6" s="55"/>
      <c r="B6" s="56"/>
      <c r="C6" s="56"/>
      <c r="D6" s="3"/>
      <c r="E6" s="3"/>
      <c r="F6" s="55"/>
      <c r="G6" s="55"/>
      <c r="H6" s="55"/>
    </row>
    <row r="7" spans="1:9" ht="27" customHeight="1" thickTop="1">
      <c r="A7" s="57" t="s">
        <v>1</v>
      </c>
      <c r="B7" s="58" t="s">
        <v>3</v>
      </c>
      <c r="C7" s="23" t="s">
        <v>285</v>
      </c>
      <c r="D7" s="11" t="s">
        <v>2</v>
      </c>
      <c r="E7" s="16" t="s">
        <v>11</v>
      </c>
      <c r="F7" s="59" t="s">
        <v>4</v>
      </c>
      <c r="G7" s="59" t="s">
        <v>5</v>
      </c>
      <c r="H7" s="73" t="s">
        <v>13</v>
      </c>
      <c r="I7" s="53" t="s">
        <v>0</v>
      </c>
    </row>
    <row r="8" spans="1:9" ht="21" customHeight="1">
      <c r="A8" s="60"/>
      <c r="B8" s="72" t="s">
        <v>15</v>
      </c>
      <c r="C8" s="72" t="s">
        <v>316</v>
      </c>
      <c r="D8" s="12">
        <v>83006884161</v>
      </c>
      <c r="E8" s="30" t="s">
        <v>16</v>
      </c>
      <c r="F8" s="46"/>
      <c r="G8" s="46"/>
      <c r="H8" s="74"/>
      <c r="I8" s="51">
        <f>F8+G8+H8</f>
        <v>0</v>
      </c>
    </row>
    <row r="9" spans="1:9" ht="21" customHeight="1">
      <c r="A9" s="60"/>
      <c r="B9" s="26" t="s">
        <v>17</v>
      </c>
      <c r="C9" s="26" t="s">
        <v>314</v>
      </c>
      <c r="D9" s="12">
        <v>83001699293</v>
      </c>
      <c r="E9" s="30" t="s">
        <v>19</v>
      </c>
      <c r="F9" s="46">
        <v>1200</v>
      </c>
      <c r="G9" s="46">
        <v>0</v>
      </c>
      <c r="H9" s="74">
        <v>0</v>
      </c>
      <c r="I9" s="51">
        <f>F9+G9+H9</f>
        <v>1200</v>
      </c>
    </row>
    <row r="10" spans="1:9" ht="21" customHeight="1">
      <c r="A10" s="60"/>
      <c r="B10" s="26" t="s">
        <v>18</v>
      </c>
      <c r="C10" s="26" t="s">
        <v>324</v>
      </c>
      <c r="D10" s="12">
        <v>83002793469</v>
      </c>
      <c r="E10" s="30" t="s">
        <v>20</v>
      </c>
      <c r="F10" s="46"/>
      <c r="G10" s="46"/>
      <c r="H10" s="74"/>
      <c r="I10" s="51">
        <f aca="true" t="shared" si="0" ref="I10:I60">F10+G10+H10</f>
        <v>0</v>
      </c>
    </row>
    <row r="11" spans="1:9" ht="21" customHeight="1">
      <c r="A11" s="60"/>
      <c r="B11" s="26" t="s">
        <v>21</v>
      </c>
      <c r="C11" s="26" t="s">
        <v>365</v>
      </c>
      <c r="D11" s="12">
        <v>83005319585</v>
      </c>
      <c r="E11" s="30" t="s">
        <v>22</v>
      </c>
      <c r="F11" s="46"/>
      <c r="G11" s="46"/>
      <c r="H11" s="74"/>
      <c r="I11" s="51">
        <f t="shared" si="0"/>
        <v>0</v>
      </c>
    </row>
    <row r="12" spans="1:9" ht="21" customHeight="1">
      <c r="A12" s="60"/>
      <c r="B12" s="26" t="s">
        <v>23</v>
      </c>
      <c r="C12" s="26" t="s">
        <v>325</v>
      </c>
      <c r="D12" s="61">
        <v>999395654431</v>
      </c>
      <c r="E12" s="30" t="s">
        <v>24</v>
      </c>
      <c r="F12" s="46"/>
      <c r="G12" s="46"/>
      <c r="H12" s="74"/>
      <c r="I12" s="51">
        <f t="shared" si="0"/>
        <v>0</v>
      </c>
    </row>
    <row r="13" spans="1:9" ht="21" customHeight="1">
      <c r="A13" s="60"/>
      <c r="B13" s="26" t="s">
        <v>25</v>
      </c>
      <c r="C13" s="26" t="s">
        <v>315</v>
      </c>
      <c r="D13" s="61">
        <v>999395655454</v>
      </c>
      <c r="E13" s="30" t="s">
        <v>26</v>
      </c>
      <c r="F13" s="46"/>
      <c r="G13" s="46"/>
      <c r="H13" s="74"/>
      <c r="I13" s="51">
        <f t="shared" si="0"/>
        <v>0</v>
      </c>
    </row>
    <row r="14" spans="1:9" ht="21" customHeight="1">
      <c r="A14" s="60"/>
      <c r="B14" s="26" t="s">
        <v>27</v>
      </c>
      <c r="C14" s="26" t="s">
        <v>326</v>
      </c>
      <c r="D14" s="61">
        <v>512012286</v>
      </c>
      <c r="E14" s="30" t="s">
        <v>28</v>
      </c>
      <c r="F14" s="46"/>
      <c r="G14" s="46"/>
      <c r="H14" s="74"/>
      <c r="I14" s="51">
        <f t="shared" si="0"/>
        <v>0</v>
      </c>
    </row>
    <row r="15" spans="1:9" ht="21" customHeight="1">
      <c r="A15" s="60"/>
      <c r="B15" s="26" t="s">
        <v>29</v>
      </c>
      <c r="C15" s="26" t="s">
        <v>327</v>
      </c>
      <c r="D15" s="61">
        <v>999395659634</v>
      </c>
      <c r="E15" s="30" t="s">
        <v>30</v>
      </c>
      <c r="F15" s="46"/>
      <c r="G15" s="46"/>
      <c r="H15" s="74"/>
      <c r="I15" s="51">
        <f t="shared" si="0"/>
        <v>0</v>
      </c>
    </row>
    <row r="16" spans="1:9" ht="21" customHeight="1">
      <c r="A16" s="60"/>
      <c r="B16" s="26" t="s">
        <v>31</v>
      </c>
      <c r="C16" s="26" t="s">
        <v>317</v>
      </c>
      <c r="D16" s="61">
        <v>999395660462</v>
      </c>
      <c r="E16" s="30" t="s">
        <v>32</v>
      </c>
      <c r="F16" s="46"/>
      <c r="G16" s="46"/>
      <c r="H16" s="74"/>
      <c r="I16" s="51">
        <f t="shared" si="0"/>
        <v>0</v>
      </c>
    </row>
    <row r="17" spans="1:9" ht="21" customHeight="1">
      <c r="A17" s="60"/>
      <c r="B17" s="26" t="s">
        <v>33</v>
      </c>
      <c r="C17" s="26" t="s">
        <v>366</v>
      </c>
      <c r="D17" s="61">
        <v>999395662284</v>
      </c>
      <c r="E17" s="30" t="s">
        <v>34</v>
      </c>
      <c r="F17" s="46"/>
      <c r="G17" s="46"/>
      <c r="H17" s="74"/>
      <c r="I17" s="51">
        <f t="shared" si="0"/>
        <v>0</v>
      </c>
    </row>
    <row r="18" spans="1:9" ht="21" customHeight="1">
      <c r="A18" s="60"/>
      <c r="B18" s="26" t="s">
        <v>35</v>
      </c>
      <c r="C18" s="26" t="s">
        <v>292</v>
      </c>
      <c r="D18" s="61">
        <v>999395662947</v>
      </c>
      <c r="E18" s="30" t="s">
        <v>36</v>
      </c>
      <c r="F18" s="46"/>
      <c r="G18" s="46"/>
      <c r="H18" s="74"/>
      <c r="I18" s="51">
        <f t="shared" si="0"/>
        <v>0</v>
      </c>
    </row>
    <row r="19" spans="1:9" ht="21" customHeight="1">
      <c r="A19" s="60"/>
      <c r="B19" s="26" t="s">
        <v>37</v>
      </c>
      <c r="C19" s="26" t="s">
        <v>369</v>
      </c>
      <c r="D19" s="61">
        <v>999395663410</v>
      </c>
      <c r="E19" s="30" t="s">
        <v>38</v>
      </c>
      <c r="F19" s="46"/>
      <c r="G19" s="46"/>
      <c r="H19" s="74"/>
      <c r="I19" s="51">
        <f t="shared" si="0"/>
        <v>0</v>
      </c>
    </row>
    <row r="20" spans="1:9" ht="21" customHeight="1">
      <c r="A20" s="60"/>
      <c r="B20" s="26" t="s">
        <v>39</v>
      </c>
      <c r="C20" s="26" t="s">
        <v>293</v>
      </c>
      <c r="D20" s="61">
        <v>999395665004</v>
      </c>
      <c r="E20" s="30" t="s">
        <v>40</v>
      </c>
      <c r="F20" s="46"/>
      <c r="G20" s="46"/>
      <c r="H20" s="74"/>
      <c r="I20" s="51">
        <f t="shared" si="0"/>
        <v>0</v>
      </c>
    </row>
    <row r="21" spans="1:9" ht="21" customHeight="1">
      <c r="A21" s="60"/>
      <c r="B21" s="26" t="s">
        <v>41</v>
      </c>
      <c r="C21" s="26" t="s">
        <v>367</v>
      </c>
      <c r="D21" s="61">
        <v>999395665500</v>
      </c>
      <c r="E21" s="30" t="s">
        <v>42</v>
      </c>
      <c r="F21" s="46"/>
      <c r="G21" s="46"/>
      <c r="H21" s="74"/>
      <c r="I21" s="51">
        <f t="shared" si="0"/>
        <v>0</v>
      </c>
    </row>
    <row r="22" spans="1:9" ht="21" customHeight="1">
      <c r="A22" s="60"/>
      <c r="B22" s="26" t="s">
        <v>43</v>
      </c>
      <c r="C22" s="93"/>
      <c r="D22" s="61">
        <v>999395674678</v>
      </c>
      <c r="E22" s="30" t="s">
        <v>44</v>
      </c>
      <c r="F22" s="46"/>
      <c r="G22" s="46"/>
      <c r="H22" s="74"/>
      <c r="I22" s="51">
        <f t="shared" si="0"/>
        <v>0</v>
      </c>
    </row>
    <row r="23" spans="1:9" ht="21" customHeight="1">
      <c r="A23" s="60"/>
      <c r="B23" s="26" t="s">
        <v>45</v>
      </c>
      <c r="C23" s="26" t="s">
        <v>307</v>
      </c>
      <c r="D23" s="61">
        <v>999395675751</v>
      </c>
      <c r="E23" s="30" t="s">
        <v>46</v>
      </c>
      <c r="F23" s="46"/>
      <c r="G23" s="46"/>
      <c r="H23" s="74"/>
      <c r="I23" s="51">
        <f t="shared" si="0"/>
        <v>0</v>
      </c>
    </row>
    <row r="24" spans="1:9" ht="21" customHeight="1">
      <c r="A24" s="60"/>
      <c r="B24" s="26" t="s">
        <v>47</v>
      </c>
      <c r="C24" s="26" t="s">
        <v>318</v>
      </c>
      <c r="D24" s="61">
        <v>999395676257</v>
      </c>
      <c r="E24" s="30" t="s">
        <v>48</v>
      </c>
      <c r="F24" s="46"/>
      <c r="G24" s="46"/>
      <c r="H24" s="74"/>
      <c r="I24" s="51">
        <f t="shared" si="0"/>
        <v>0</v>
      </c>
    </row>
    <row r="25" spans="1:9" ht="21" customHeight="1">
      <c r="A25" s="60"/>
      <c r="B25" s="26" t="s">
        <v>49</v>
      </c>
      <c r="C25" s="26" t="s">
        <v>328</v>
      </c>
      <c r="D25" s="61">
        <v>999395676905</v>
      </c>
      <c r="E25" s="30" t="s">
        <v>50</v>
      </c>
      <c r="F25" s="46"/>
      <c r="G25" s="46"/>
      <c r="H25" s="74"/>
      <c r="I25" s="51">
        <f t="shared" si="0"/>
        <v>0</v>
      </c>
    </row>
    <row r="26" spans="1:9" ht="21" customHeight="1">
      <c r="A26" s="60"/>
      <c r="B26" s="26" t="s">
        <v>51</v>
      </c>
      <c r="C26" s="93"/>
      <c r="D26" s="61">
        <v>999395677339</v>
      </c>
      <c r="E26" s="30" t="s">
        <v>52</v>
      </c>
      <c r="F26" s="46"/>
      <c r="G26" s="46"/>
      <c r="H26" s="74"/>
      <c r="I26" s="51">
        <f t="shared" si="0"/>
        <v>0</v>
      </c>
    </row>
    <row r="27" spans="1:9" ht="21" customHeight="1">
      <c r="A27" s="60"/>
      <c r="B27" s="26" t="s">
        <v>53</v>
      </c>
      <c r="C27" s="93"/>
      <c r="D27" s="61">
        <v>999395680029</v>
      </c>
      <c r="E27" s="30" t="s">
        <v>54</v>
      </c>
      <c r="F27" s="46"/>
      <c r="G27" s="46"/>
      <c r="H27" s="74"/>
      <c r="I27" s="51">
        <f t="shared" si="0"/>
        <v>0</v>
      </c>
    </row>
    <row r="28" spans="1:9" ht="21" customHeight="1">
      <c r="A28" s="60"/>
      <c r="B28" s="26" t="s">
        <v>55</v>
      </c>
      <c r="C28" s="26" t="s">
        <v>294</v>
      </c>
      <c r="D28" s="61">
        <v>999395682858</v>
      </c>
      <c r="E28" s="30" t="s">
        <v>56</v>
      </c>
      <c r="F28" s="46"/>
      <c r="G28" s="46"/>
      <c r="H28" s="74"/>
      <c r="I28" s="51">
        <f t="shared" si="0"/>
        <v>0</v>
      </c>
    </row>
    <row r="29" spans="1:9" ht="21" customHeight="1">
      <c r="A29" s="60"/>
      <c r="B29" s="26" t="s">
        <v>57</v>
      </c>
      <c r="C29" s="26" t="s">
        <v>295</v>
      </c>
      <c r="D29" s="12">
        <v>512095448</v>
      </c>
      <c r="E29" s="30" t="s">
        <v>58</v>
      </c>
      <c r="F29" s="46"/>
      <c r="G29" s="46"/>
      <c r="H29" s="74"/>
      <c r="I29" s="51">
        <f t="shared" si="0"/>
        <v>0</v>
      </c>
    </row>
    <row r="30" spans="1:9" ht="21" customHeight="1">
      <c r="A30" s="60"/>
      <c r="B30" s="26" t="s">
        <v>59</v>
      </c>
      <c r="C30" s="26" t="s">
        <v>296</v>
      </c>
      <c r="D30" s="61">
        <v>999395695033</v>
      </c>
      <c r="E30" s="30" t="s">
        <v>60</v>
      </c>
      <c r="F30" s="46"/>
      <c r="G30" s="46"/>
      <c r="H30" s="74"/>
      <c r="I30" s="51">
        <f t="shared" si="0"/>
        <v>0</v>
      </c>
    </row>
    <row r="31" spans="1:9" ht="21" customHeight="1">
      <c r="A31" s="60"/>
      <c r="B31" s="26" t="s">
        <v>61</v>
      </c>
      <c r="C31" s="26" t="s">
        <v>296</v>
      </c>
      <c r="D31" s="61">
        <v>999395696742</v>
      </c>
      <c r="E31" s="30" t="s">
        <v>62</v>
      </c>
      <c r="F31" s="46"/>
      <c r="G31" s="46"/>
      <c r="H31" s="74"/>
      <c r="I31" s="51">
        <f t="shared" si="0"/>
        <v>0</v>
      </c>
    </row>
    <row r="32" spans="1:9" ht="21" customHeight="1">
      <c r="A32" s="60"/>
      <c r="B32" s="26" t="s">
        <v>63</v>
      </c>
      <c r="C32" s="26" t="s">
        <v>308</v>
      </c>
      <c r="D32" s="61">
        <v>999395697615</v>
      </c>
      <c r="E32" s="30" t="s">
        <v>64</v>
      </c>
      <c r="F32" s="46">
        <f>4825/2</f>
        <v>2412.5</v>
      </c>
      <c r="G32" s="46">
        <v>0</v>
      </c>
      <c r="H32" s="74">
        <v>0</v>
      </c>
      <c r="I32" s="51">
        <f t="shared" si="0"/>
        <v>2412.5</v>
      </c>
    </row>
    <row r="33" spans="1:9" ht="21" customHeight="1">
      <c r="A33" s="60"/>
      <c r="B33" s="26" t="s">
        <v>65</v>
      </c>
      <c r="C33" s="26" t="s">
        <v>297</v>
      </c>
      <c r="D33" s="61">
        <v>999395698321</v>
      </c>
      <c r="E33" s="30" t="s">
        <v>66</v>
      </c>
      <c r="F33" s="46">
        <f>5015/2</f>
        <v>2507.5</v>
      </c>
      <c r="G33" s="46">
        <v>0</v>
      </c>
      <c r="H33" s="74">
        <v>0</v>
      </c>
      <c r="I33" s="51">
        <f t="shared" si="0"/>
        <v>2507.5</v>
      </c>
    </row>
    <row r="34" spans="1:9" s="63" customFormat="1" ht="21" customHeight="1">
      <c r="A34" s="60"/>
      <c r="B34" s="26" t="s">
        <v>67</v>
      </c>
      <c r="C34" s="26" t="s">
        <v>309</v>
      </c>
      <c r="D34" s="62">
        <v>999395698661</v>
      </c>
      <c r="E34" s="31" t="s">
        <v>68</v>
      </c>
      <c r="F34" s="47">
        <f>1900/2</f>
        <v>950</v>
      </c>
      <c r="G34" s="47">
        <v>0</v>
      </c>
      <c r="H34" s="75">
        <v>0</v>
      </c>
      <c r="I34" s="51">
        <f t="shared" si="0"/>
        <v>950</v>
      </c>
    </row>
    <row r="35" spans="1:9" ht="21" customHeight="1">
      <c r="A35" s="60"/>
      <c r="B35" s="26" t="s">
        <v>69</v>
      </c>
      <c r="C35" s="26"/>
      <c r="D35" s="61">
        <v>999395699042</v>
      </c>
      <c r="E35" s="30" t="s">
        <v>70</v>
      </c>
      <c r="F35" s="46">
        <f>6489/2</f>
        <v>3244.5</v>
      </c>
      <c r="G35" s="46">
        <v>0</v>
      </c>
      <c r="H35" s="74">
        <v>0</v>
      </c>
      <c r="I35" s="51">
        <f t="shared" si="0"/>
        <v>3244.5</v>
      </c>
    </row>
    <row r="36" spans="1:9" ht="21" customHeight="1">
      <c r="A36" s="60"/>
      <c r="B36" s="26" t="s">
        <v>71</v>
      </c>
      <c r="C36" s="93"/>
      <c r="D36" s="61">
        <v>999395699192</v>
      </c>
      <c r="E36" s="30" t="s">
        <v>72</v>
      </c>
      <c r="F36" s="47">
        <f>1992/2</f>
        <v>996</v>
      </c>
      <c r="G36" s="47">
        <v>0</v>
      </c>
      <c r="H36" s="75">
        <v>0</v>
      </c>
      <c r="I36" s="92">
        <f t="shared" si="0"/>
        <v>996</v>
      </c>
    </row>
    <row r="37" spans="1:9" ht="21" customHeight="1">
      <c r="A37" s="60"/>
      <c r="B37" s="26" t="s">
        <v>73</v>
      </c>
      <c r="C37" s="93"/>
      <c r="D37" s="61">
        <v>999395699382</v>
      </c>
      <c r="E37" s="30" t="s">
        <v>74</v>
      </c>
      <c r="F37" s="46">
        <f>2425/2</f>
        <v>1212.5</v>
      </c>
      <c r="G37" s="46">
        <v>0</v>
      </c>
      <c r="H37" s="74">
        <v>0</v>
      </c>
      <c r="I37" s="51">
        <f t="shared" si="0"/>
        <v>1212.5</v>
      </c>
    </row>
    <row r="38" spans="1:9" ht="21" customHeight="1">
      <c r="A38" s="60"/>
      <c r="B38" s="26" t="s">
        <v>75</v>
      </c>
      <c r="C38" s="26" t="s">
        <v>298</v>
      </c>
      <c r="D38" s="61">
        <v>999395699631</v>
      </c>
      <c r="E38" s="30" t="s">
        <v>76</v>
      </c>
      <c r="F38" s="46">
        <f>231/2</f>
        <v>115.5</v>
      </c>
      <c r="G38" s="46">
        <v>0</v>
      </c>
      <c r="H38" s="74">
        <v>0</v>
      </c>
      <c r="I38" s="51">
        <f t="shared" si="0"/>
        <v>115.5</v>
      </c>
    </row>
    <row r="39" spans="1:9" ht="21" customHeight="1">
      <c r="A39" s="60"/>
      <c r="B39" s="26" t="s">
        <v>77</v>
      </c>
      <c r="C39" s="93"/>
      <c r="D39" s="61">
        <v>999395699855</v>
      </c>
      <c r="E39" s="30" t="s">
        <v>78</v>
      </c>
      <c r="F39" s="46">
        <f>1580/2</f>
        <v>790</v>
      </c>
      <c r="G39" s="46">
        <v>0</v>
      </c>
      <c r="H39" s="74">
        <v>0</v>
      </c>
      <c r="I39" s="51">
        <f t="shared" si="0"/>
        <v>790</v>
      </c>
    </row>
    <row r="40" spans="1:9" ht="21" customHeight="1">
      <c r="A40" s="60"/>
      <c r="B40" s="26" t="s">
        <v>79</v>
      </c>
      <c r="C40" s="26" t="s">
        <v>299</v>
      </c>
      <c r="D40" s="61">
        <v>999395699914</v>
      </c>
      <c r="E40" s="30" t="s">
        <v>80</v>
      </c>
      <c r="F40" s="46">
        <f>3608/2</f>
        <v>1804</v>
      </c>
      <c r="G40" s="46">
        <v>0</v>
      </c>
      <c r="H40" s="74">
        <v>0</v>
      </c>
      <c r="I40" s="51">
        <f t="shared" si="0"/>
        <v>1804</v>
      </c>
    </row>
    <row r="41" spans="1:9" ht="21" customHeight="1">
      <c r="A41" s="60"/>
      <c r="B41" s="26" t="s">
        <v>81</v>
      </c>
      <c r="C41" s="26" t="s">
        <v>329</v>
      </c>
      <c r="D41" s="61">
        <v>999395720675</v>
      </c>
      <c r="E41" s="30" t="s">
        <v>82</v>
      </c>
      <c r="F41" s="46">
        <f>5713/2</f>
        <v>2856.5</v>
      </c>
      <c r="G41" s="46">
        <v>0</v>
      </c>
      <c r="H41" s="74">
        <v>0</v>
      </c>
      <c r="I41" s="51">
        <f t="shared" si="0"/>
        <v>2856.5</v>
      </c>
    </row>
    <row r="42" spans="1:9" ht="21" customHeight="1">
      <c r="A42" s="60"/>
      <c r="B42" s="26" t="s">
        <v>83</v>
      </c>
      <c r="C42" s="26" t="s">
        <v>300</v>
      </c>
      <c r="D42" s="61">
        <v>999395721493</v>
      </c>
      <c r="E42" s="30" t="s">
        <v>84</v>
      </c>
      <c r="F42" s="46">
        <f>2988/2</f>
        <v>1494</v>
      </c>
      <c r="G42" s="46">
        <v>0</v>
      </c>
      <c r="H42" s="74">
        <v>0</v>
      </c>
      <c r="I42" s="51">
        <f t="shared" si="0"/>
        <v>1494</v>
      </c>
    </row>
    <row r="43" spans="1:9" ht="21" customHeight="1">
      <c r="A43" s="60"/>
      <c r="B43" s="26" t="s">
        <v>85</v>
      </c>
      <c r="C43" s="26"/>
      <c r="D43" s="61">
        <v>999395728957</v>
      </c>
      <c r="E43" s="30" t="s">
        <v>86</v>
      </c>
      <c r="F43" s="46">
        <f>583/2</f>
        <v>291.5</v>
      </c>
      <c r="G43" s="46">
        <v>0</v>
      </c>
      <c r="H43" s="74">
        <v>0</v>
      </c>
      <c r="I43" s="51">
        <f t="shared" si="0"/>
        <v>291.5</v>
      </c>
    </row>
    <row r="44" spans="1:9" ht="21" customHeight="1">
      <c r="A44" s="60"/>
      <c r="B44" s="26" t="s">
        <v>87</v>
      </c>
      <c r="C44" s="26" t="s">
        <v>330</v>
      </c>
      <c r="D44" s="61">
        <v>999395729357</v>
      </c>
      <c r="E44" s="30" t="s">
        <v>88</v>
      </c>
      <c r="F44" s="46">
        <f>1164/2</f>
        <v>582</v>
      </c>
      <c r="G44" s="46">
        <v>0</v>
      </c>
      <c r="H44" s="74">
        <v>0</v>
      </c>
      <c r="I44" s="51">
        <f t="shared" si="0"/>
        <v>582</v>
      </c>
    </row>
    <row r="45" spans="1:9" ht="21" customHeight="1">
      <c r="A45" s="60"/>
      <c r="B45" s="26" t="s">
        <v>89</v>
      </c>
      <c r="C45" s="93"/>
      <c r="D45" s="61">
        <v>999395729815</v>
      </c>
      <c r="E45" s="30" t="s">
        <v>90</v>
      </c>
      <c r="F45" s="46">
        <f>1432/2</f>
        <v>716</v>
      </c>
      <c r="G45" s="46">
        <v>0</v>
      </c>
      <c r="H45" s="74">
        <v>0</v>
      </c>
      <c r="I45" s="51">
        <f t="shared" si="0"/>
        <v>716</v>
      </c>
    </row>
    <row r="46" spans="1:9" ht="21" customHeight="1">
      <c r="A46" s="60"/>
      <c r="B46" s="26" t="s">
        <v>94</v>
      </c>
      <c r="C46" s="26" t="s">
        <v>331</v>
      </c>
      <c r="D46" s="61">
        <v>999395730546</v>
      </c>
      <c r="E46" s="30" t="s">
        <v>91</v>
      </c>
      <c r="F46" s="46">
        <f>546/2</f>
        <v>273</v>
      </c>
      <c r="G46" s="46">
        <v>0</v>
      </c>
      <c r="H46" s="74">
        <v>0</v>
      </c>
      <c r="I46" s="51">
        <f t="shared" si="0"/>
        <v>273</v>
      </c>
    </row>
    <row r="47" spans="1:9" ht="21" customHeight="1">
      <c r="A47" s="60"/>
      <c r="B47" s="26" t="s">
        <v>92</v>
      </c>
      <c r="C47" s="26" t="s">
        <v>319</v>
      </c>
      <c r="D47" s="61">
        <v>999395731005</v>
      </c>
      <c r="E47" s="32" t="s">
        <v>93</v>
      </c>
      <c r="F47" s="46">
        <f>1149/2</f>
        <v>574.5</v>
      </c>
      <c r="G47" s="46">
        <v>0</v>
      </c>
      <c r="H47" s="74">
        <v>0</v>
      </c>
      <c r="I47" s="51">
        <f t="shared" si="0"/>
        <v>574.5</v>
      </c>
    </row>
    <row r="48" spans="1:9" ht="21" customHeight="1">
      <c r="A48" s="60"/>
      <c r="B48" s="26" t="s">
        <v>95</v>
      </c>
      <c r="C48" s="93"/>
      <c r="D48" s="61">
        <v>999395731797</v>
      </c>
      <c r="E48" s="30" t="s">
        <v>96</v>
      </c>
      <c r="F48" s="46">
        <f>225/2</f>
        <v>112.5</v>
      </c>
      <c r="G48" s="46">
        <v>0</v>
      </c>
      <c r="H48" s="74">
        <v>0</v>
      </c>
      <c r="I48" s="51">
        <f t="shared" si="0"/>
        <v>112.5</v>
      </c>
    </row>
    <row r="49" spans="1:9" ht="21" customHeight="1">
      <c r="A49" s="60"/>
      <c r="B49" s="26" t="s">
        <v>97</v>
      </c>
      <c r="C49" s="26"/>
      <c r="D49" s="61">
        <v>999395850272</v>
      </c>
      <c r="E49" s="30" t="s">
        <v>98</v>
      </c>
      <c r="F49" s="46"/>
      <c r="G49" s="46"/>
      <c r="H49" s="74"/>
      <c r="I49" s="51">
        <f t="shared" si="0"/>
        <v>0</v>
      </c>
    </row>
    <row r="50" spans="1:9" ht="21" customHeight="1">
      <c r="A50" s="60"/>
      <c r="B50" s="26" t="s">
        <v>99</v>
      </c>
      <c r="C50" s="93"/>
      <c r="D50" s="61">
        <v>999395869847</v>
      </c>
      <c r="E50" s="30" t="s">
        <v>100</v>
      </c>
      <c r="F50" s="46"/>
      <c r="G50" s="46"/>
      <c r="H50" s="74"/>
      <c r="I50" s="51">
        <f t="shared" si="0"/>
        <v>0</v>
      </c>
    </row>
    <row r="51" spans="1:9" ht="21" customHeight="1">
      <c r="A51" s="60"/>
      <c r="B51" s="26" t="s">
        <v>101</v>
      </c>
      <c r="C51" s="26" t="s">
        <v>371</v>
      </c>
      <c r="D51" s="12">
        <v>83007836944</v>
      </c>
      <c r="E51" s="30" t="s">
        <v>102</v>
      </c>
      <c r="F51" s="46"/>
      <c r="G51" s="46"/>
      <c r="H51" s="74"/>
      <c r="I51" s="51">
        <f t="shared" si="0"/>
        <v>0</v>
      </c>
    </row>
    <row r="52" spans="1:9" ht="21" customHeight="1">
      <c r="A52" s="60"/>
      <c r="B52" s="26" t="s">
        <v>103</v>
      </c>
      <c r="C52" s="26" t="s">
        <v>286</v>
      </c>
      <c r="D52" s="61">
        <v>999418107083</v>
      </c>
      <c r="E52" s="30" t="s">
        <v>104</v>
      </c>
      <c r="F52" s="46">
        <f>4093/2</f>
        <v>2046.5</v>
      </c>
      <c r="G52" s="46">
        <v>0</v>
      </c>
      <c r="H52" s="74">
        <v>0</v>
      </c>
      <c r="I52" s="51">
        <f t="shared" si="0"/>
        <v>2046.5</v>
      </c>
    </row>
    <row r="53" spans="1:9" ht="21" customHeight="1">
      <c r="A53" s="60"/>
      <c r="B53" s="26" t="s">
        <v>105</v>
      </c>
      <c r="C53" s="26" t="s">
        <v>332</v>
      </c>
      <c r="D53" s="61">
        <v>999418108530</v>
      </c>
      <c r="E53" s="30" t="s">
        <v>106</v>
      </c>
      <c r="F53" s="46"/>
      <c r="G53" s="46"/>
      <c r="H53" s="74"/>
      <c r="I53" s="51">
        <f t="shared" si="0"/>
        <v>0</v>
      </c>
    </row>
    <row r="54" spans="1:9" ht="21" customHeight="1">
      <c r="A54" s="60"/>
      <c r="B54" s="26" t="s">
        <v>107</v>
      </c>
      <c r="C54" s="26" t="s">
        <v>302</v>
      </c>
      <c r="D54" s="61">
        <v>999444028261</v>
      </c>
      <c r="E54" s="30" t="s">
        <v>108</v>
      </c>
      <c r="F54" s="46"/>
      <c r="G54" s="46"/>
      <c r="H54" s="74"/>
      <c r="I54" s="51">
        <f t="shared" si="0"/>
        <v>0</v>
      </c>
    </row>
    <row r="55" spans="1:9" ht="21" customHeight="1">
      <c r="A55" s="60"/>
      <c r="B55" s="26" t="s">
        <v>109</v>
      </c>
      <c r="C55" s="26" t="s">
        <v>313</v>
      </c>
      <c r="D55" s="12">
        <v>83000769293</v>
      </c>
      <c r="E55" s="30" t="s">
        <v>110</v>
      </c>
      <c r="F55" s="46"/>
      <c r="G55" s="46"/>
      <c r="H55" s="74"/>
      <c r="I55" s="51">
        <f t="shared" si="0"/>
        <v>0</v>
      </c>
    </row>
    <row r="56" spans="1:9" ht="21" customHeight="1">
      <c r="A56" s="60"/>
      <c r="B56" s="35" t="s">
        <v>125</v>
      </c>
      <c r="C56" s="94"/>
      <c r="D56" s="36">
        <v>60006203645</v>
      </c>
      <c r="E56" s="37" t="s">
        <v>126</v>
      </c>
      <c r="F56" s="46"/>
      <c r="G56" s="46"/>
      <c r="H56" s="48"/>
      <c r="I56" s="51">
        <f t="shared" si="0"/>
        <v>0</v>
      </c>
    </row>
    <row r="57" spans="1:9" ht="21" customHeight="1">
      <c r="A57" s="60"/>
      <c r="B57" s="26" t="s">
        <v>127</v>
      </c>
      <c r="C57" s="93"/>
      <c r="D57" s="12">
        <v>60007966411</v>
      </c>
      <c r="E57" s="30" t="s">
        <v>128</v>
      </c>
      <c r="F57" s="46"/>
      <c r="G57" s="46"/>
      <c r="H57" s="74"/>
      <c r="I57" s="51">
        <f t="shared" si="0"/>
        <v>0</v>
      </c>
    </row>
    <row r="58" spans="1:9" ht="21" customHeight="1">
      <c r="A58" s="60"/>
      <c r="B58" s="26" t="s">
        <v>129</v>
      </c>
      <c r="C58" s="26" t="s">
        <v>289</v>
      </c>
      <c r="D58" s="12">
        <v>60006643135</v>
      </c>
      <c r="E58" s="30" t="s">
        <v>130</v>
      </c>
      <c r="F58" s="46">
        <f>656/2</f>
        <v>328</v>
      </c>
      <c r="G58" s="46">
        <v>0</v>
      </c>
      <c r="H58" s="74">
        <v>0</v>
      </c>
      <c r="I58" s="51">
        <f t="shared" si="0"/>
        <v>328</v>
      </c>
    </row>
    <row r="59" spans="1:9" ht="21" customHeight="1">
      <c r="A59" s="60"/>
      <c r="B59" s="26" t="s">
        <v>131</v>
      </c>
      <c r="C59" s="93"/>
      <c r="D59" s="12">
        <v>60007843244</v>
      </c>
      <c r="E59" s="30" t="s">
        <v>132</v>
      </c>
      <c r="F59" s="46">
        <f>787/2</f>
        <v>393.5</v>
      </c>
      <c r="G59" s="46">
        <v>0</v>
      </c>
      <c r="H59" s="74">
        <v>0</v>
      </c>
      <c r="I59" s="51">
        <f t="shared" si="0"/>
        <v>393.5</v>
      </c>
    </row>
    <row r="60" spans="1:9" ht="21" customHeight="1">
      <c r="A60" s="60"/>
      <c r="B60" s="26" t="s">
        <v>133</v>
      </c>
      <c r="C60" s="26" t="s">
        <v>322</v>
      </c>
      <c r="D60" s="12">
        <v>60007843069</v>
      </c>
      <c r="E60" s="30" t="s">
        <v>134</v>
      </c>
      <c r="F60" s="46">
        <f>192/2</f>
        <v>96</v>
      </c>
      <c r="G60" s="46">
        <v>0</v>
      </c>
      <c r="H60" s="74">
        <v>0</v>
      </c>
      <c r="I60" s="51">
        <f t="shared" si="0"/>
        <v>96</v>
      </c>
    </row>
    <row r="61" spans="1:9" ht="21" customHeight="1">
      <c r="A61" s="60"/>
      <c r="B61" s="26" t="s">
        <v>135</v>
      </c>
      <c r="C61" s="26" t="s">
        <v>353</v>
      </c>
      <c r="D61" s="12">
        <v>60007843073</v>
      </c>
      <c r="E61" s="30" t="s">
        <v>136</v>
      </c>
      <c r="F61" s="46">
        <f>467/2</f>
        <v>233.5</v>
      </c>
      <c r="G61" s="46">
        <v>0</v>
      </c>
      <c r="H61" s="74">
        <v>0</v>
      </c>
      <c r="I61" s="51">
        <f aca="true" t="shared" si="1" ref="I61:I121">F61+G61+H61</f>
        <v>233.5</v>
      </c>
    </row>
    <row r="62" spans="1:9" ht="21" customHeight="1">
      <c r="A62" s="60"/>
      <c r="B62" s="26" t="s">
        <v>137</v>
      </c>
      <c r="C62" s="93"/>
      <c r="D62" s="12">
        <v>60007843356</v>
      </c>
      <c r="E62" s="30" t="s">
        <v>138</v>
      </c>
      <c r="F62" s="46">
        <f>220/2</f>
        <v>110</v>
      </c>
      <c r="G62" s="46">
        <v>0</v>
      </c>
      <c r="H62" s="74">
        <v>0</v>
      </c>
      <c r="I62" s="51">
        <f t="shared" si="1"/>
        <v>110</v>
      </c>
    </row>
    <row r="63" spans="1:9" ht="21" customHeight="1">
      <c r="A63" s="60"/>
      <c r="B63" s="26" t="s">
        <v>139</v>
      </c>
      <c r="C63" s="93"/>
      <c r="D63" s="12">
        <v>60007847274</v>
      </c>
      <c r="E63" s="30" t="s">
        <v>140</v>
      </c>
      <c r="F63" s="46">
        <f>349/2</f>
        <v>174.5</v>
      </c>
      <c r="G63" s="46">
        <v>0</v>
      </c>
      <c r="H63" s="74">
        <v>0</v>
      </c>
      <c r="I63" s="51">
        <f t="shared" si="1"/>
        <v>174.5</v>
      </c>
    </row>
    <row r="64" spans="1:9" ht="21" customHeight="1">
      <c r="A64" s="60"/>
      <c r="B64" s="26" t="s">
        <v>141</v>
      </c>
      <c r="C64" s="93"/>
      <c r="D64" s="12">
        <v>60007847482</v>
      </c>
      <c r="E64" s="30" t="s">
        <v>142</v>
      </c>
      <c r="F64" s="46"/>
      <c r="G64" s="46"/>
      <c r="H64" s="74"/>
      <c r="I64" s="51">
        <f t="shared" si="1"/>
        <v>0</v>
      </c>
    </row>
    <row r="65" spans="1:9" ht="21" customHeight="1">
      <c r="A65" s="60"/>
      <c r="B65" s="26" t="s">
        <v>143</v>
      </c>
      <c r="C65" s="26" t="s">
        <v>323</v>
      </c>
      <c r="D65" s="12">
        <v>60007858040</v>
      </c>
      <c r="E65" s="78" t="s">
        <v>144</v>
      </c>
      <c r="F65" s="46"/>
      <c r="G65" s="46"/>
      <c r="H65" s="74"/>
      <c r="I65" s="51">
        <f t="shared" si="1"/>
        <v>0</v>
      </c>
    </row>
    <row r="66" spans="1:9" ht="21" customHeight="1">
      <c r="A66" s="60"/>
      <c r="B66" s="43" t="s">
        <v>145</v>
      </c>
      <c r="C66" s="43" t="s">
        <v>358</v>
      </c>
      <c r="D66" s="44">
        <v>60007889355</v>
      </c>
      <c r="E66" s="37" t="s">
        <v>146</v>
      </c>
      <c r="F66" s="46">
        <f>207/2</f>
        <v>103.5</v>
      </c>
      <c r="G66" s="46">
        <v>0</v>
      </c>
      <c r="H66" s="74">
        <v>0</v>
      </c>
      <c r="I66" s="51">
        <f t="shared" si="1"/>
        <v>103.5</v>
      </c>
    </row>
    <row r="67" spans="1:9" s="63" customFormat="1" ht="21" customHeight="1">
      <c r="A67" s="60"/>
      <c r="B67" s="41" t="s">
        <v>147</v>
      </c>
      <c r="C67" s="41" t="s">
        <v>311</v>
      </c>
      <c r="D67" s="40">
        <v>60007899611</v>
      </c>
      <c r="E67" s="42" t="s">
        <v>148</v>
      </c>
      <c r="F67" s="47"/>
      <c r="G67" s="47"/>
      <c r="H67" s="75"/>
      <c r="I67" s="51">
        <f t="shared" si="1"/>
        <v>0</v>
      </c>
    </row>
    <row r="68" spans="1:9" ht="21" customHeight="1">
      <c r="A68" s="60"/>
      <c r="B68" s="26" t="s">
        <v>149</v>
      </c>
      <c r="C68" s="93"/>
      <c r="D68" s="12">
        <v>60008073286</v>
      </c>
      <c r="E68" s="30" t="s">
        <v>150</v>
      </c>
      <c r="F68" s="46">
        <f>36/2</f>
        <v>18</v>
      </c>
      <c r="G68" s="46">
        <v>0</v>
      </c>
      <c r="H68" s="74">
        <v>0</v>
      </c>
      <c r="I68" s="51">
        <f t="shared" si="1"/>
        <v>18</v>
      </c>
    </row>
    <row r="69" spans="1:9" ht="21" customHeight="1">
      <c r="A69" s="60"/>
      <c r="B69" s="26" t="s">
        <v>151</v>
      </c>
      <c r="C69" s="26"/>
      <c r="D69" s="12">
        <v>60008101006</v>
      </c>
      <c r="E69" s="30" t="s">
        <v>152</v>
      </c>
      <c r="F69" s="46"/>
      <c r="G69" s="46"/>
      <c r="H69" s="74"/>
      <c r="I69" s="51">
        <f t="shared" si="1"/>
        <v>0</v>
      </c>
    </row>
    <row r="70" spans="1:9" ht="21" customHeight="1">
      <c r="A70" s="60"/>
      <c r="B70" s="26" t="s">
        <v>153</v>
      </c>
      <c r="C70" s="26" t="s">
        <v>359</v>
      </c>
      <c r="D70" s="12">
        <v>60008115357</v>
      </c>
      <c r="E70" s="30" t="s">
        <v>154</v>
      </c>
      <c r="F70" s="46"/>
      <c r="G70" s="46"/>
      <c r="H70" s="74"/>
      <c r="I70" s="51">
        <f t="shared" si="1"/>
        <v>0</v>
      </c>
    </row>
    <row r="71" spans="1:9" ht="21" customHeight="1">
      <c r="A71" s="60"/>
      <c r="B71" s="26" t="s">
        <v>155</v>
      </c>
      <c r="C71" s="26" t="s">
        <v>312</v>
      </c>
      <c r="D71" s="12">
        <v>60008450632</v>
      </c>
      <c r="E71" s="30" t="s">
        <v>156</v>
      </c>
      <c r="F71" s="46"/>
      <c r="G71" s="46"/>
      <c r="H71" s="74"/>
      <c r="I71" s="51">
        <f t="shared" si="1"/>
        <v>0</v>
      </c>
    </row>
    <row r="72" spans="1:9" ht="21" customHeight="1">
      <c r="A72" s="60"/>
      <c r="B72" s="26" t="s">
        <v>157</v>
      </c>
      <c r="C72" s="26" t="s">
        <v>360</v>
      </c>
      <c r="D72" s="12">
        <v>60008427213</v>
      </c>
      <c r="E72" s="30" t="s">
        <v>158</v>
      </c>
      <c r="F72" s="46">
        <f>136/2</f>
        <v>68</v>
      </c>
      <c r="G72" s="46">
        <v>0</v>
      </c>
      <c r="H72" s="74">
        <v>0</v>
      </c>
      <c r="I72" s="51">
        <f t="shared" si="1"/>
        <v>68</v>
      </c>
    </row>
    <row r="73" spans="1:9" ht="21" customHeight="1">
      <c r="A73" s="60"/>
      <c r="B73" s="26" t="s">
        <v>159</v>
      </c>
      <c r="C73" s="26" t="s">
        <v>361</v>
      </c>
      <c r="D73" s="12">
        <v>60008475541</v>
      </c>
      <c r="E73" s="30" t="s">
        <v>160</v>
      </c>
      <c r="F73" s="46">
        <f>211/2</f>
        <v>105.5</v>
      </c>
      <c r="G73" s="46">
        <v>0</v>
      </c>
      <c r="H73" s="74">
        <v>0</v>
      </c>
      <c r="I73" s="51">
        <f t="shared" si="1"/>
        <v>105.5</v>
      </c>
    </row>
    <row r="74" spans="1:9" ht="21" customHeight="1">
      <c r="A74" s="60"/>
      <c r="B74" s="26" t="s">
        <v>161</v>
      </c>
      <c r="C74" s="93"/>
      <c r="D74" s="12">
        <v>60008368817</v>
      </c>
      <c r="E74" s="30" t="s">
        <v>162</v>
      </c>
      <c r="F74" s="46"/>
      <c r="G74" s="46"/>
      <c r="H74" s="74"/>
      <c r="I74" s="51">
        <f t="shared" si="1"/>
        <v>0</v>
      </c>
    </row>
    <row r="75" spans="1:9" ht="21" customHeight="1">
      <c r="A75" s="60"/>
      <c r="B75" s="26" t="s">
        <v>163</v>
      </c>
      <c r="C75" s="26" t="s">
        <v>372</v>
      </c>
      <c r="D75" s="12">
        <v>60091069643</v>
      </c>
      <c r="E75" s="30" t="s">
        <v>164</v>
      </c>
      <c r="F75" s="46"/>
      <c r="G75" s="46"/>
      <c r="H75" s="74"/>
      <c r="I75" s="51">
        <f t="shared" si="1"/>
        <v>0</v>
      </c>
    </row>
    <row r="76" spans="1:9" ht="21" customHeight="1">
      <c r="A76" s="60"/>
      <c r="B76" s="26" t="s">
        <v>165</v>
      </c>
      <c r="C76" s="26" t="s">
        <v>363</v>
      </c>
      <c r="D76" s="12">
        <v>60089709450</v>
      </c>
      <c r="E76" s="30" t="s">
        <v>166</v>
      </c>
      <c r="F76" s="46">
        <f>199/2</f>
        <v>99.5</v>
      </c>
      <c r="G76" s="46">
        <v>0</v>
      </c>
      <c r="H76" s="74">
        <v>0</v>
      </c>
      <c r="I76" s="51">
        <f t="shared" si="1"/>
        <v>99.5</v>
      </c>
    </row>
    <row r="77" spans="1:9" ht="21" customHeight="1">
      <c r="A77" s="60"/>
      <c r="B77" s="26" t="s">
        <v>167</v>
      </c>
      <c r="C77" s="26" t="s">
        <v>362</v>
      </c>
      <c r="D77" s="12">
        <v>60089553056</v>
      </c>
      <c r="E77" s="30" t="s">
        <v>168</v>
      </c>
      <c r="F77" s="46">
        <f>3668/2</f>
        <v>1834</v>
      </c>
      <c r="G77" s="46">
        <v>0</v>
      </c>
      <c r="H77" s="74">
        <v>0</v>
      </c>
      <c r="I77" s="51">
        <f t="shared" si="1"/>
        <v>1834</v>
      </c>
    </row>
    <row r="78" spans="1:9" ht="21" customHeight="1">
      <c r="A78" s="60"/>
      <c r="B78" s="26" t="s">
        <v>169</v>
      </c>
      <c r="C78" s="26" t="s">
        <v>364</v>
      </c>
      <c r="D78" s="17">
        <v>60090692774</v>
      </c>
      <c r="E78" s="31" t="s">
        <v>170</v>
      </c>
      <c r="F78" s="46"/>
      <c r="G78" s="46"/>
      <c r="H78" s="74"/>
      <c r="I78" s="51">
        <f t="shared" si="1"/>
        <v>0</v>
      </c>
    </row>
    <row r="79" spans="1:9" ht="21" customHeight="1">
      <c r="A79" s="60"/>
      <c r="B79" s="26" t="s">
        <v>171</v>
      </c>
      <c r="C79" s="93"/>
      <c r="D79" s="12">
        <v>60006579681</v>
      </c>
      <c r="E79" s="30" t="s">
        <v>172</v>
      </c>
      <c r="F79" s="46"/>
      <c r="G79" s="46"/>
      <c r="H79" s="74"/>
      <c r="I79" s="51">
        <f t="shared" si="1"/>
        <v>0</v>
      </c>
    </row>
    <row r="80" spans="1:9" ht="21" customHeight="1">
      <c r="A80" s="60"/>
      <c r="B80" s="26" t="s">
        <v>173</v>
      </c>
      <c r="C80" s="26" t="s">
        <v>333</v>
      </c>
      <c r="D80" s="12">
        <v>60006586696</v>
      </c>
      <c r="E80" s="30" t="s">
        <v>174</v>
      </c>
      <c r="F80" s="46">
        <f>1198/2</f>
        <v>599</v>
      </c>
      <c r="G80" s="46">
        <v>0</v>
      </c>
      <c r="H80" s="74">
        <v>0</v>
      </c>
      <c r="I80" s="51">
        <f t="shared" si="1"/>
        <v>599</v>
      </c>
    </row>
    <row r="81" spans="1:9" ht="21" customHeight="1">
      <c r="A81" s="60"/>
      <c r="B81" s="26" t="s">
        <v>175</v>
      </c>
      <c r="C81" s="93"/>
      <c r="D81" s="17">
        <v>60006586704</v>
      </c>
      <c r="E81" s="31" t="s">
        <v>176</v>
      </c>
      <c r="F81" s="46">
        <f>139/2</f>
        <v>69.5</v>
      </c>
      <c r="G81" s="46">
        <v>0</v>
      </c>
      <c r="H81" s="74">
        <v>0</v>
      </c>
      <c r="I81" s="51">
        <f t="shared" si="1"/>
        <v>69.5</v>
      </c>
    </row>
    <row r="82" spans="1:9" s="63" customFormat="1" ht="21" customHeight="1">
      <c r="A82" s="60"/>
      <c r="B82" s="26" t="s">
        <v>177</v>
      </c>
      <c r="C82" s="26" t="s">
        <v>370</v>
      </c>
      <c r="D82" s="12">
        <v>60006587652</v>
      </c>
      <c r="E82" s="33" t="s">
        <v>178</v>
      </c>
      <c r="F82" s="47">
        <f>916/2</f>
        <v>458</v>
      </c>
      <c r="G82" s="47">
        <v>0</v>
      </c>
      <c r="H82" s="75">
        <v>0</v>
      </c>
      <c r="I82" s="51">
        <f t="shared" si="1"/>
        <v>458</v>
      </c>
    </row>
    <row r="83" spans="1:9" ht="21" customHeight="1">
      <c r="A83" s="60"/>
      <c r="B83" s="26" t="s">
        <v>179</v>
      </c>
      <c r="C83" s="26" t="s">
        <v>334</v>
      </c>
      <c r="D83" s="12">
        <v>60006587671</v>
      </c>
      <c r="E83" s="30" t="s">
        <v>180</v>
      </c>
      <c r="F83" s="49">
        <f>766/2</f>
        <v>383</v>
      </c>
      <c r="G83" s="49">
        <v>0</v>
      </c>
      <c r="H83" s="76">
        <v>0</v>
      </c>
      <c r="I83" s="51">
        <f t="shared" si="1"/>
        <v>383</v>
      </c>
    </row>
    <row r="84" spans="1:9" ht="21" customHeight="1">
      <c r="A84" s="60"/>
      <c r="B84" s="26" t="s">
        <v>181</v>
      </c>
      <c r="C84" s="26" t="s">
        <v>335</v>
      </c>
      <c r="D84" s="12">
        <v>60006593566</v>
      </c>
      <c r="E84" s="30" t="s">
        <v>182</v>
      </c>
      <c r="F84" s="46">
        <f>598/2</f>
        <v>299</v>
      </c>
      <c r="G84" s="46">
        <v>0</v>
      </c>
      <c r="H84" s="74">
        <v>0</v>
      </c>
      <c r="I84" s="51">
        <f t="shared" si="1"/>
        <v>299</v>
      </c>
    </row>
    <row r="85" spans="1:9" ht="21" customHeight="1">
      <c r="A85" s="60"/>
      <c r="B85" s="26" t="s">
        <v>183</v>
      </c>
      <c r="C85" s="26" t="s">
        <v>336</v>
      </c>
      <c r="D85" s="12">
        <v>60006601563</v>
      </c>
      <c r="E85" s="30" t="s">
        <v>184</v>
      </c>
      <c r="F85" s="46">
        <f>962/2</f>
        <v>481</v>
      </c>
      <c r="G85" s="46">
        <v>0</v>
      </c>
      <c r="H85" s="74">
        <v>0</v>
      </c>
      <c r="I85" s="51">
        <f t="shared" si="1"/>
        <v>481</v>
      </c>
    </row>
    <row r="86" spans="1:9" ht="21" customHeight="1">
      <c r="A86" s="60"/>
      <c r="B86" s="26" t="s">
        <v>185</v>
      </c>
      <c r="C86" s="26" t="s">
        <v>310</v>
      </c>
      <c r="D86" s="12">
        <v>60006630551</v>
      </c>
      <c r="E86" s="30" t="s">
        <v>186</v>
      </c>
      <c r="F86" s="46">
        <f>1277/2</f>
        <v>638.5</v>
      </c>
      <c r="G86" s="46">
        <v>0</v>
      </c>
      <c r="H86" s="74">
        <v>0</v>
      </c>
      <c r="I86" s="51">
        <f t="shared" si="1"/>
        <v>638.5</v>
      </c>
    </row>
    <row r="87" spans="1:9" ht="21" customHeight="1">
      <c r="A87" s="60"/>
      <c r="B87" s="26" t="s">
        <v>187</v>
      </c>
      <c r="C87" s="26" t="s">
        <v>287</v>
      </c>
      <c r="D87" s="12">
        <v>60006631759</v>
      </c>
      <c r="E87" s="30" t="s">
        <v>188</v>
      </c>
      <c r="F87" s="46">
        <f>482/2</f>
        <v>241</v>
      </c>
      <c r="G87" s="46">
        <v>0</v>
      </c>
      <c r="H87" s="74">
        <v>0</v>
      </c>
      <c r="I87" s="51">
        <f t="shared" si="1"/>
        <v>241</v>
      </c>
    </row>
    <row r="88" spans="1:9" ht="21" customHeight="1">
      <c r="A88" s="60"/>
      <c r="B88" s="26" t="s">
        <v>189</v>
      </c>
      <c r="C88" s="26" t="s">
        <v>339</v>
      </c>
      <c r="D88" s="12">
        <v>60006631974</v>
      </c>
      <c r="E88" s="30" t="s">
        <v>190</v>
      </c>
      <c r="F88" s="46"/>
      <c r="G88" s="46"/>
      <c r="H88" s="74"/>
      <c r="I88" s="51">
        <f t="shared" si="1"/>
        <v>0</v>
      </c>
    </row>
    <row r="89" spans="1:9" ht="21" customHeight="1">
      <c r="A89" s="60"/>
      <c r="B89" s="26" t="s">
        <v>191</v>
      </c>
      <c r="C89" s="26" t="s">
        <v>356</v>
      </c>
      <c r="D89" s="12">
        <v>60007843337</v>
      </c>
      <c r="E89" s="30" t="s">
        <v>192</v>
      </c>
      <c r="F89" s="46">
        <f>1068/2</f>
        <v>534</v>
      </c>
      <c r="G89" s="46">
        <v>0</v>
      </c>
      <c r="H89" s="74">
        <v>0</v>
      </c>
      <c r="I89" s="51">
        <f t="shared" si="1"/>
        <v>534</v>
      </c>
    </row>
    <row r="90" spans="1:9" ht="21" customHeight="1">
      <c r="A90" s="60"/>
      <c r="B90" s="26" t="s">
        <v>193</v>
      </c>
      <c r="C90" s="26" t="s">
        <v>305</v>
      </c>
      <c r="D90" s="12">
        <v>60006631992</v>
      </c>
      <c r="E90" s="30" t="s">
        <v>194</v>
      </c>
      <c r="F90" s="46"/>
      <c r="G90" s="46"/>
      <c r="H90" s="74"/>
      <c r="I90" s="51">
        <f t="shared" si="1"/>
        <v>0</v>
      </c>
    </row>
    <row r="91" spans="1:9" ht="21" customHeight="1">
      <c r="A91" s="60"/>
      <c r="B91" s="26" t="s">
        <v>195</v>
      </c>
      <c r="C91" s="26" t="s">
        <v>341</v>
      </c>
      <c r="D91" s="12">
        <v>60006632013</v>
      </c>
      <c r="E91" s="30" t="s">
        <v>196</v>
      </c>
      <c r="F91" s="46">
        <f>379/2</f>
        <v>189.5</v>
      </c>
      <c r="G91" s="46">
        <v>0</v>
      </c>
      <c r="H91" s="74">
        <v>0</v>
      </c>
      <c r="I91" s="51">
        <f t="shared" si="1"/>
        <v>189.5</v>
      </c>
    </row>
    <row r="92" spans="1:9" ht="21" customHeight="1">
      <c r="A92" s="60"/>
      <c r="B92" s="26" t="s">
        <v>197</v>
      </c>
      <c r="C92" s="26" t="s">
        <v>288</v>
      </c>
      <c r="D92" s="12">
        <v>60006632028</v>
      </c>
      <c r="E92" s="30" t="s">
        <v>198</v>
      </c>
      <c r="F92" s="46">
        <f>3258/2</f>
        <v>1629</v>
      </c>
      <c r="G92" s="46">
        <v>0</v>
      </c>
      <c r="H92" s="74">
        <v>0</v>
      </c>
      <c r="I92" s="51">
        <f t="shared" si="1"/>
        <v>1629</v>
      </c>
    </row>
    <row r="93" spans="1:9" ht="21" customHeight="1">
      <c r="A93" s="60"/>
      <c r="B93" s="26" t="s">
        <v>199</v>
      </c>
      <c r="C93" s="26" t="s">
        <v>342</v>
      </c>
      <c r="D93" s="12">
        <v>60006632034</v>
      </c>
      <c r="E93" s="30" t="s">
        <v>200</v>
      </c>
      <c r="F93" s="46"/>
      <c r="G93" s="46"/>
      <c r="H93" s="74"/>
      <c r="I93" s="51">
        <f t="shared" si="1"/>
        <v>0</v>
      </c>
    </row>
    <row r="94" spans="1:9" ht="21" customHeight="1">
      <c r="A94" s="60"/>
      <c r="B94" s="26" t="s">
        <v>201</v>
      </c>
      <c r="C94" s="26" t="s">
        <v>343</v>
      </c>
      <c r="D94" s="12">
        <v>60006637176</v>
      </c>
      <c r="E94" s="30" t="s">
        <v>202</v>
      </c>
      <c r="F94" s="46">
        <f>413/2</f>
        <v>206.5</v>
      </c>
      <c r="G94" s="46">
        <v>0</v>
      </c>
      <c r="H94" s="74">
        <v>0</v>
      </c>
      <c r="I94" s="51">
        <f t="shared" si="1"/>
        <v>206.5</v>
      </c>
    </row>
    <row r="95" spans="1:9" ht="21" customHeight="1">
      <c r="A95" s="60"/>
      <c r="B95" s="26" t="s">
        <v>203</v>
      </c>
      <c r="C95" s="93"/>
      <c r="D95" s="12">
        <v>60006637235</v>
      </c>
      <c r="E95" s="30" t="s">
        <v>204</v>
      </c>
      <c r="F95" s="46">
        <f>144/2</f>
        <v>72</v>
      </c>
      <c r="G95" s="46">
        <v>0</v>
      </c>
      <c r="H95" s="74">
        <v>0</v>
      </c>
      <c r="I95" s="51">
        <f t="shared" si="1"/>
        <v>72</v>
      </c>
    </row>
    <row r="96" spans="1:9" ht="21" customHeight="1">
      <c r="A96" s="60"/>
      <c r="B96" s="26" t="s">
        <v>205</v>
      </c>
      <c r="C96" s="26" t="s">
        <v>306</v>
      </c>
      <c r="D96" s="12">
        <v>60006637714</v>
      </c>
      <c r="E96" s="30" t="s">
        <v>206</v>
      </c>
      <c r="F96" s="46">
        <f>349/2</f>
        <v>174.5</v>
      </c>
      <c r="G96" s="46">
        <v>0</v>
      </c>
      <c r="H96" s="74">
        <v>0</v>
      </c>
      <c r="I96" s="51">
        <f t="shared" si="1"/>
        <v>174.5</v>
      </c>
    </row>
    <row r="97" spans="1:9" ht="21" customHeight="1">
      <c r="A97" s="60"/>
      <c r="B97" s="26" t="s">
        <v>207</v>
      </c>
      <c r="C97" s="93"/>
      <c r="D97" s="12">
        <v>60006642108</v>
      </c>
      <c r="E97" s="30" t="s">
        <v>208</v>
      </c>
      <c r="F97" s="46">
        <f>144/2</f>
        <v>72</v>
      </c>
      <c r="G97" s="46">
        <v>0</v>
      </c>
      <c r="H97" s="74">
        <v>0</v>
      </c>
      <c r="I97" s="51">
        <f t="shared" si="1"/>
        <v>72</v>
      </c>
    </row>
    <row r="98" spans="1:9" ht="21" customHeight="1">
      <c r="A98" s="60"/>
      <c r="B98" s="26" t="s">
        <v>209</v>
      </c>
      <c r="C98" s="93"/>
      <c r="D98" s="12">
        <v>60006642114</v>
      </c>
      <c r="E98" s="30" t="s">
        <v>210</v>
      </c>
      <c r="F98" s="46">
        <f>144/2</f>
        <v>72</v>
      </c>
      <c r="G98" s="46">
        <v>0</v>
      </c>
      <c r="H98" s="74">
        <v>0</v>
      </c>
      <c r="I98" s="51">
        <f t="shared" si="1"/>
        <v>72</v>
      </c>
    </row>
    <row r="99" spans="1:9" ht="21" customHeight="1">
      <c r="A99" s="60"/>
      <c r="B99" s="26" t="s">
        <v>211</v>
      </c>
      <c r="C99" s="26" t="s">
        <v>290</v>
      </c>
      <c r="D99" s="12">
        <v>60006644426</v>
      </c>
      <c r="E99" s="30" t="s">
        <v>212</v>
      </c>
      <c r="F99" s="46"/>
      <c r="G99" s="46"/>
      <c r="H99" s="74"/>
      <c r="I99" s="51">
        <f t="shared" si="1"/>
        <v>0</v>
      </c>
    </row>
    <row r="100" spans="1:9" ht="21" customHeight="1">
      <c r="A100" s="60"/>
      <c r="B100" s="26" t="s">
        <v>213</v>
      </c>
      <c r="C100" s="93"/>
      <c r="D100" s="12">
        <v>60006644431</v>
      </c>
      <c r="E100" s="30" t="s">
        <v>214</v>
      </c>
      <c r="F100" s="46"/>
      <c r="G100" s="46"/>
      <c r="H100" s="74"/>
      <c r="I100" s="51">
        <f t="shared" si="1"/>
        <v>0</v>
      </c>
    </row>
    <row r="101" spans="1:9" ht="21" customHeight="1">
      <c r="A101" s="60"/>
      <c r="B101" s="26" t="s">
        <v>215</v>
      </c>
      <c r="C101" s="26" t="s">
        <v>344</v>
      </c>
      <c r="D101" s="12">
        <v>60006644654</v>
      </c>
      <c r="E101" s="30" t="s">
        <v>216</v>
      </c>
      <c r="F101" s="47">
        <f>224/2</f>
        <v>112</v>
      </c>
      <c r="G101" s="47">
        <v>0</v>
      </c>
      <c r="H101" s="75">
        <v>0</v>
      </c>
      <c r="I101" s="92">
        <f t="shared" si="1"/>
        <v>112</v>
      </c>
    </row>
    <row r="102" spans="1:9" ht="21" customHeight="1">
      <c r="A102" s="60"/>
      <c r="B102" s="26" t="s">
        <v>217</v>
      </c>
      <c r="C102" s="93"/>
      <c r="D102" s="12">
        <v>60007182237</v>
      </c>
      <c r="E102" s="30" t="s">
        <v>218</v>
      </c>
      <c r="F102" s="46"/>
      <c r="G102" s="46"/>
      <c r="H102" s="74"/>
      <c r="I102" s="51">
        <f t="shared" si="1"/>
        <v>0</v>
      </c>
    </row>
    <row r="103" spans="1:9" ht="21" customHeight="1">
      <c r="A103" s="60"/>
      <c r="B103" s="26" t="s">
        <v>219</v>
      </c>
      <c r="C103" s="26" t="s">
        <v>354</v>
      </c>
      <c r="D103" s="12">
        <v>60007843211</v>
      </c>
      <c r="E103" s="30" t="s">
        <v>220</v>
      </c>
      <c r="F103" s="46"/>
      <c r="G103" s="46"/>
      <c r="H103" s="74"/>
      <c r="I103" s="51">
        <f t="shared" si="1"/>
        <v>0</v>
      </c>
    </row>
    <row r="104" spans="1:9" ht="21" customHeight="1">
      <c r="A104" s="60"/>
      <c r="B104" s="26" t="s">
        <v>221</v>
      </c>
      <c r="C104" s="26" t="s">
        <v>355</v>
      </c>
      <c r="D104" s="12">
        <v>60007843225</v>
      </c>
      <c r="E104" s="30" t="s">
        <v>222</v>
      </c>
      <c r="F104" s="46"/>
      <c r="G104" s="46"/>
      <c r="H104" s="74"/>
      <c r="I104" s="51">
        <f t="shared" si="1"/>
        <v>0</v>
      </c>
    </row>
    <row r="105" spans="1:9" ht="21" customHeight="1">
      <c r="A105" s="60"/>
      <c r="B105" s="26" t="s">
        <v>223</v>
      </c>
      <c r="C105" s="26" t="s">
        <v>347</v>
      </c>
      <c r="D105" s="12">
        <v>60007211343</v>
      </c>
      <c r="E105" s="30" t="s">
        <v>224</v>
      </c>
      <c r="F105" s="46">
        <v>0</v>
      </c>
      <c r="G105" s="46">
        <v>0</v>
      </c>
      <c r="H105" s="74">
        <v>0</v>
      </c>
      <c r="I105" s="51">
        <f t="shared" si="1"/>
        <v>0</v>
      </c>
    </row>
    <row r="106" spans="1:9" ht="21" customHeight="1">
      <c r="A106" s="60"/>
      <c r="B106" s="26" t="s">
        <v>225</v>
      </c>
      <c r="C106" s="26" t="s">
        <v>346</v>
      </c>
      <c r="D106" s="12">
        <v>60007211339</v>
      </c>
      <c r="E106" s="30" t="s">
        <v>226</v>
      </c>
      <c r="F106" s="46">
        <f>256/2</f>
        <v>128</v>
      </c>
      <c r="G106" s="46">
        <v>0</v>
      </c>
      <c r="H106" s="74">
        <v>0</v>
      </c>
      <c r="I106" s="51">
        <f t="shared" si="1"/>
        <v>128</v>
      </c>
    </row>
    <row r="107" spans="1:9" ht="21" customHeight="1">
      <c r="A107" s="60"/>
      <c r="B107" s="26" t="s">
        <v>227</v>
      </c>
      <c r="C107" s="26" t="s">
        <v>291</v>
      </c>
      <c r="D107" s="12">
        <v>60007239731</v>
      </c>
      <c r="E107" s="30" t="s">
        <v>228</v>
      </c>
      <c r="F107" s="46">
        <f>1323/2</f>
        <v>661.5</v>
      </c>
      <c r="G107" s="46">
        <v>0</v>
      </c>
      <c r="H107" s="74">
        <v>0</v>
      </c>
      <c r="I107" s="51">
        <f t="shared" si="1"/>
        <v>661.5</v>
      </c>
    </row>
    <row r="108" spans="1:9" ht="21" customHeight="1">
      <c r="A108" s="60"/>
      <c r="B108" s="26" t="s">
        <v>229</v>
      </c>
      <c r="C108" s="26" t="s">
        <v>348</v>
      </c>
      <c r="D108" s="12">
        <v>60007483419</v>
      </c>
      <c r="E108" s="30" t="s">
        <v>230</v>
      </c>
      <c r="F108" s="46">
        <f>483/2</f>
        <v>241.5</v>
      </c>
      <c r="G108" s="46">
        <v>0</v>
      </c>
      <c r="H108" s="74">
        <v>0</v>
      </c>
      <c r="I108" s="51">
        <f t="shared" si="1"/>
        <v>241.5</v>
      </c>
    </row>
    <row r="109" spans="1:9" ht="21" customHeight="1">
      <c r="A109" s="60"/>
      <c r="B109" s="26" t="s">
        <v>231</v>
      </c>
      <c r="C109" s="26" t="s">
        <v>301</v>
      </c>
      <c r="D109" s="12">
        <v>60006579638</v>
      </c>
      <c r="E109" s="30" t="s">
        <v>232</v>
      </c>
      <c r="F109" s="46"/>
      <c r="G109" s="46"/>
      <c r="H109" s="74"/>
      <c r="I109" s="51">
        <f t="shared" si="1"/>
        <v>0</v>
      </c>
    </row>
    <row r="110" spans="1:9" ht="21" customHeight="1">
      <c r="A110" s="60"/>
      <c r="B110" s="26" t="s">
        <v>233</v>
      </c>
      <c r="C110" s="26" t="s">
        <v>349</v>
      </c>
      <c r="D110" s="12">
        <v>60006579657</v>
      </c>
      <c r="E110" s="30" t="s">
        <v>234</v>
      </c>
      <c r="F110" s="46"/>
      <c r="G110" s="46"/>
      <c r="H110" s="74"/>
      <c r="I110" s="51">
        <f t="shared" si="1"/>
        <v>0</v>
      </c>
    </row>
    <row r="111" spans="1:9" ht="21" customHeight="1">
      <c r="A111" s="60"/>
      <c r="B111" s="26" t="s">
        <v>235</v>
      </c>
      <c r="C111" s="93"/>
      <c r="D111" s="12">
        <v>60006579676</v>
      </c>
      <c r="E111" s="30" t="s">
        <v>236</v>
      </c>
      <c r="F111" s="46"/>
      <c r="G111" s="46"/>
      <c r="H111" s="74"/>
      <c r="I111" s="51">
        <f t="shared" si="1"/>
        <v>0</v>
      </c>
    </row>
    <row r="112" spans="1:9" ht="21" customHeight="1">
      <c r="A112" s="60"/>
      <c r="B112" s="26" t="s">
        <v>237</v>
      </c>
      <c r="C112" s="26" t="s">
        <v>351</v>
      </c>
      <c r="D112" s="12">
        <v>60007631681</v>
      </c>
      <c r="E112" s="30" t="s">
        <v>238</v>
      </c>
      <c r="F112" s="46"/>
      <c r="G112" s="46"/>
      <c r="H112" s="74"/>
      <c r="I112" s="51">
        <f t="shared" si="1"/>
        <v>0</v>
      </c>
    </row>
    <row r="113" spans="1:9" ht="21" customHeight="1">
      <c r="A113" s="60"/>
      <c r="B113" s="26" t="s">
        <v>239</v>
      </c>
      <c r="C113" s="26" t="s">
        <v>357</v>
      </c>
      <c r="D113" s="12">
        <v>60007848373</v>
      </c>
      <c r="E113" s="30" t="s">
        <v>240</v>
      </c>
      <c r="F113" s="46">
        <f>2042/2</f>
        <v>1021</v>
      </c>
      <c r="G113" s="46">
        <v>0</v>
      </c>
      <c r="H113" s="74">
        <v>0</v>
      </c>
      <c r="I113" s="51">
        <f t="shared" si="1"/>
        <v>1021</v>
      </c>
    </row>
    <row r="114" spans="1:9" ht="21" customHeight="1">
      <c r="A114" s="60"/>
      <c r="B114" s="26" t="s">
        <v>241</v>
      </c>
      <c r="C114" s="26" t="s">
        <v>338</v>
      </c>
      <c r="D114" s="12">
        <v>60006631880</v>
      </c>
      <c r="E114" s="30" t="s">
        <v>242</v>
      </c>
      <c r="F114" s="46">
        <f>120/2</f>
        <v>60</v>
      </c>
      <c r="G114" s="46">
        <v>0</v>
      </c>
      <c r="H114" s="74">
        <v>0</v>
      </c>
      <c r="I114" s="51">
        <f t="shared" si="1"/>
        <v>60</v>
      </c>
    </row>
    <row r="115" spans="1:9" ht="21" customHeight="1">
      <c r="A115" s="64"/>
      <c r="B115" s="26" t="s">
        <v>243</v>
      </c>
      <c r="C115" s="26" t="s">
        <v>320</v>
      </c>
      <c r="D115" s="12">
        <v>60006631920</v>
      </c>
      <c r="E115" s="30" t="s">
        <v>244</v>
      </c>
      <c r="F115" s="49">
        <f>478/2</f>
        <v>239</v>
      </c>
      <c r="G115" s="49">
        <v>0</v>
      </c>
      <c r="H115" s="76">
        <v>0</v>
      </c>
      <c r="I115" s="51">
        <f t="shared" si="1"/>
        <v>239</v>
      </c>
    </row>
    <row r="116" spans="1:9" ht="21" customHeight="1">
      <c r="A116" s="64"/>
      <c r="B116" s="26" t="s">
        <v>245</v>
      </c>
      <c r="C116" s="26" t="s">
        <v>340</v>
      </c>
      <c r="D116" s="12">
        <v>60006631987</v>
      </c>
      <c r="E116" s="30" t="s">
        <v>246</v>
      </c>
      <c r="F116" s="49">
        <f>3578/2</f>
        <v>1789</v>
      </c>
      <c r="G116" s="49">
        <v>0</v>
      </c>
      <c r="H116" s="76">
        <v>0</v>
      </c>
      <c r="I116" s="51">
        <f t="shared" si="1"/>
        <v>1789</v>
      </c>
    </row>
    <row r="117" spans="1:9" ht="21" customHeight="1">
      <c r="A117" s="64"/>
      <c r="B117" s="26" t="s">
        <v>247</v>
      </c>
      <c r="C117" s="26" t="s">
        <v>373</v>
      </c>
      <c r="D117" s="12">
        <v>60006632009</v>
      </c>
      <c r="E117" s="30" t="s">
        <v>248</v>
      </c>
      <c r="F117" s="49">
        <f>3654/2</f>
        <v>1827</v>
      </c>
      <c r="G117" s="49">
        <v>0</v>
      </c>
      <c r="H117" s="76">
        <v>0</v>
      </c>
      <c r="I117" s="51">
        <f t="shared" si="1"/>
        <v>1827</v>
      </c>
    </row>
    <row r="118" spans="1:9" ht="21" customHeight="1">
      <c r="A118" s="64"/>
      <c r="B118" s="26" t="s">
        <v>249</v>
      </c>
      <c r="C118" s="26" t="s">
        <v>350</v>
      </c>
      <c r="D118" s="12">
        <v>60007611240</v>
      </c>
      <c r="E118" s="30" t="s">
        <v>250</v>
      </c>
      <c r="F118" s="49">
        <f>3128/2</f>
        <v>1564</v>
      </c>
      <c r="G118" s="49">
        <v>0</v>
      </c>
      <c r="H118" s="76">
        <v>0</v>
      </c>
      <c r="I118" s="51">
        <f t="shared" si="1"/>
        <v>1564</v>
      </c>
    </row>
    <row r="119" spans="1:9" ht="21" customHeight="1">
      <c r="A119" s="64"/>
      <c r="B119" s="26" t="s">
        <v>251</v>
      </c>
      <c r="C119" s="26" t="s">
        <v>337</v>
      </c>
      <c r="D119" s="12">
        <v>60006613294</v>
      </c>
      <c r="E119" s="30" t="s">
        <v>252</v>
      </c>
      <c r="F119" s="49">
        <f>501/2</f>
        <v>250.5</v>
      </c>
      <c r="G119" s="49">
        <v>0</v>
      </c>
      <c r="H119" s="76">
        <v>0</v>
      </c>
      <c r="I119" s="51">
        <f t="shared" si="1"/>
        <v>250.5</v>
      </c>
    </row>
    <row r="120" spans="1:9" ht="21" customHeight="1">
      <c r="A120" s="64"/>
      <c r="B120" s="26" t="s">
        <v>253</v>
      </c>
      <c r="C120" s="26" t="s">
        <v>303</v>
      </c>
      <c r="D120" s="12">
        <v>60006631725</v>
      </c>
      <c r="E120" s="30" t="s">
        <v>254</v>
      </c>
      <c r="F120" s="49">
        <f>1243/2</f>
        <v>621.5</v>
      </c>
      <c r="G120" s="49">
        <v>0</v>
      </c>
      <c r="H120" s="76">
        <v>0</v>
      </c>
      <c r="I120" s="51">
        <f t="shared" si="1"/>
        <v>621.5</v>
      </c>
    </row>
    <row r="121" spans="1:9" ht="21" customHeight="1">
      <c r="A121" s="64"/>
      <c r="B121" s="26" t="s">
        <v>255</v>
      </c>
      <c r="C121" s="26" t="s">
        <v>304</v>
      </c>
      <c r="D121" s="12">
        <v>60006631818</v>
      </c>
      <c r="E121" s="30" t="s">
        <v>256</v>
      </c>
      <c r="F121" s="49"/>
      <c r="G121" s="49"/>
      <c r="H121" s="76"/>
      <c r="I121" s="51">
        <f t="shared" si="1"/>
        <v>0</v>
      </c>
    </row>
    <row r="122" spans="1:9" ht="21" customHeight="1">
      <c r="A122" s="64"/>
      <c r="B122" s="25" t="s">
        <v>257</v>
      </c>
      <c r="C122" s="95"/>
      <c r="D122" s="14">
        <v>60006631824</v>
      </c>
      <c r="E122" s="45" t="s">
        <v>258</v>
      </c>
      <c r="F122" s="49">
        <f>6122*0.5</f>
        <v>3061</v>
      </c>
      <c r="G122" s="49">
        <v>0</v>
      </c>
      <c r="H122" s="76">
        <v>0</v>
      </c>
      <c r="I122" s="51">
        <f aca="true" t="shared" si="2" ref="I122:I130">F122+G122+H122</f>
        <v>3061</v>
      </c>
    </row>
    <row r="123" spans="1:9" ht="21" customHeight="1">
      <c r="A123" s="64"/>
      <c r="B123" s="25" t="s">
        <v>259</v>
      </c>
      <c r="C123" s="25" t="s">
        <v>345</v>
      </c>
      <c r="D123" s="14">
        <v>60006872372</v>
      </c>
      <c r="E123" s="45" t="s">
        <v>260</v>
      </c>
      <c r="F123" s="49"/>
      <c r="G123" s="49"/>
      <c r="H123" s="76"/>
      <c r="I123" s="51">
        <f t="shared" si="2"/>
        <v>0</v>
      </c>
    </row>
    <row r="124" spans="1:9" ht="21" customHeight="1">
      <c r="A124" s="64"/>
      <c r="B124" s="25" t="s">
        <v>261</v>
      </c>
      <c r="C124" s="25" t="s">
        <v>321</v>
      </c>
      <c r="D124" s="14">
        <v>60006974384</v>
      </c>
      <c r="E124" s="45" t="s">
        <v>262</v>
      </c>
      <c r="F124" s="49">
        <f>762/2</f>
        <v>381</v>
      </c>
      <c r="G124" s="49">
        <v>0</v>
      </c>
      <c r="H124" s="76">
        <v>0</v>
      </c>
      <c r="I124" s="51">
        <f t="shared" si="2"/>
        <v>381</v>
      </c>
    </row>
    <row r="125" spans="1:9" ht="21" customHeight="1">
      <c r="A125" s="64"/>
      <c r="B125" s="25" t="s">
        <v>263</v>
      </c>
      <c r="C125" s="25" t="s">
        <v>368</v>
      </c>
      <c r="D125" s="14">
        <v>60006581324</v>
      </c>
      <c r="E125" s="45" t="s">
        <v>264</v>
      </c>
      <c r="F125" s="49"/>
      <c r="G125" s="49"/>
      <c r="H125" s="76"/>
      <c r="I125" s="51">
        <f t="shared" si="2"/>
        <v>0</v>
      </c>
    </row>
    <row r="126" spans="1:9" ht="21" customHeight="1">
      <c r="A126" s="64"/>
      <c r="B126" s="25" t="s">
        <v>265</v>
      </c>
      <c r="C126" s="25" t="s">
        <v>352</v>
      </c>
      <c r="D126" s="14">
        <v>60007651627</v>
      </c>
      <c r="E126" s="45" t="s">
        <v>266</v>
      </c>
      <c r="F126" s="49"/>
      <c r="G126" s="49"/>
      <c r="H126" s="76"/>
      <c r="I126" s="51">
        <f t="shared" si="2"/>
        <v>0</v>
      </c>
    </row>
    <row r="127" spans="1:9" ht="21" customHeight="1">
      <c r="A127" s="64"/>
      <c r="B127" s="25" t="s">
        <v>267</v>
      </c>
      <c r="C127" s="95"/>
      <c r="D127" s="14">
        <v>83007351147</v>
      </c>
      <c r="E127" s="45" t="s">
        <v>268</v>
      </c>
      <c r="F127" s="49"/>
      <c r="G127" s="49"/>
      <c r="H127" s="76"/>
      <c r="I127" s="51">
        <f t="shared" si="2"/>
        <v>0</v>
      </c>
    </row>
    <row r="128" spans="1:9" ht="21" customHeight="1">
      <c r="A128" s="64"/>
      <c r="B128" s="25" t="s">
        <v>269</v>
      </c>
      <c r="C128" s="25"/>
      <c r="D128" s="14">
        <v>83007705623</v>
      </c>
      <c r="E128" s="45" t="s">
        <v>270</v>
      </c>
      <c r="F128" s="49"/>
      <c r="G128" s="49"/>
      <c r="H128" s="76"/>
      <c r="I128" s="51">
        <f t="shared" si="2"/>
        <v>0</v>
      </c>
    </row>
    <row r="129" spans="1:9" ht="21" customHeight="1">
      <c r="A129" s="64"/>
      <c r="B129" s="25" t="s">
        <v>271</v>
      </c>
      <c r="C129" s="25"/>
      <c r="D129" s="14">
        <v>83007812488</v>
      </c>
      <c r="E129" s="45" t="s">
        <v>272</v>
      </c>
      <c r="F129" s="49"/>
      <c r="G129" s="49"/>
      <c r="H129" s="76"/>
      <c r="I129" s="51">
        <f t="shared" si="2"/>
        <v>0</v>
      </c>
    </row>
    <row r="130" spans="1:9" ht="21" customHeight="1">
      <c r="A130" s="64"/>
      <c r="B130" s="25" t="s">
        <v>273</v>
      </c>
      <c r="C130" s="25"/>
      <c r="D130" s="14">
        <v>83007946440</v>
      </c>
      <c r="E130" s="45" t="s">
        <v>274</v>
      </c>
      <c r="F130" s="49"/>
      <c r="G130" s="49"/>
      <c r="H130" s="76"/>
      <c r="I130" s="51">
        <f t="shared" si="2"/>
        <v>0</v>
      </c>
    </row>
    <row r="131" spans="1:9" ht="21" customHeight="1" thickBot="1">
      <c r="A131" s="65" t="s">
        <v>0</v>
      </c>
      <c r="B131" s="66"/>
      <c r="C131" s="66"/>
      <c r="D131" s="13"/>
      <c r="E131" s="13"/>
      <c r="F131" s="69"/>
      <c r="G131" s="69"/>
      <c r="H131" s="77"/>
      <c r="I131" s="70">
        <f>SUM(I8:I130)</f>
        <v>45818.5</v>
      </c>
    </row>
    <row r="132" ht="13.5" thickTop="1"/>
  </sheetData>
  <sheetProtection/>
  <mergeCells count="3">
    <mergeCell ref="F4:I4"/>
    <mergeCell ref="G3:I3"/>
    <mergeCell ref="F2:I2"/>
  </mergeCells>
  <printOptions horizontalCentered="1"/>
  <pageMargins left="0.1968503937007874" right="0.1968503937007874" top="0.3937007874015748" bottom="0.3937007874015748" header="0" footer="0"/>
  <pageSetup fitToHeight="0" fitToWidth="0" horizontalDpi="300" verticalDpi="300" orientation="portrait" paperSize="8" scale="45" r:id="rId1"/>
  <headerFooter alignWithMargins="0">
    <oddHeader>&amp;R&amp;D</oddHeader>
    <oddFooter>&amp;CPágina &amp;P de &amp;N</oddFooter>
  </headerFooter>
  <colBreaks count="1" manualBreakCount="1">
    <brk id="9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131"/>
  <sheetViews>
    <sheetView view="pageBreakPreview" zoomScale="90" zoomScaleSheetLayoutView="90" zoomScalePageLayoutView="0" workbookViewId="0" topLeftCell="A48">
      <selection activeCell="A54" sqref="A54:IV56"/>
    </sheetView>
  </sheetViews>
  <sheetFormatPr defaultColWidth="11.421875" defaultRowHeight="12.75"/>
  <cols>
    <col min="1" max="1" width="15.140625" style="1" customWidth="1"/>
    <col min="2" max="2" width="86.8515625" style="21" customWidth="1"/>
    <col min="3" max="3" width="102.421875" style="21" customWidth="1"/>
    <col min="4" max="4" width="23.140625" style="1" customWidth="1"/>
    <col min="5" max="5" width="34.57421875" style="1" hidden="1" customWidth="1"/>
    <col min="6" max="6" width="22.57421875" style="2" customWidth="1"/>
    <col min="7" max="7" width="22.140625" style="2" customWidth="1"/>
    <col min="8" max="8" width="18.28125" style="2" bestFit="1" customWidth="1"/>
    <col min="9" max="9" width="15.8515625" style="1" customWidth="1"/>
    <col min="10" max="10" width="11.57421875" style="1" bestFit="1" customWidth="1"/>
    <col min="11" max="16384" width="11.421875" style="1" customWidth="1"/>
  </cols>
  <sheetData>
    <row r="1" spans="1:9" ht="15.75" customHeight="1">
      <c r="A1" s="52"/>
      <c r="B1" s="54"/>
      <c r="C1" s="54"/>
      <c r="F1" s="52"/>
      <c r="G1" s="52"/>
      <c r="H1" s="52"/>
      <c r="I1" s="52"/>
    </row>
    <row r="2" spans="1:9" ht="42.75" customHeight="1">
      <c r="A2" s="52"/>
      <c r="B2" s="54"/>
      <c r="C2" s="54"/>
      <c r="F2" s="101" t="s">
        <v>116</v>
      </c>
      <c r="G2" s="101"/>
      <c r="H2" s="101"/>
      <c r="I2" s="101"/>
    </row>
    <row r="3" spans="1:9" ht="33.75" customHeight="1">
      <c r="A3" s="52"/>
      <c r="B3" s="54"/>
      <c r="C3" s="54"/>
      <c r="F3" s="52"/>
      <c r="G3" s="100"/>
      <c r="H3" s="100"/>
      <c r="I3" s="100"/>
    </row>
    <row r="4" spans="1:9" ht="21.75" customHeight="1">
      <c r="A4" s="52"/>
      <c r="B4" s="54"/>
      <c r="C4" s="54"/>
      <c r="F4" s="99" t="s">
        <v>278</v>
      </c>
      <c r="G4" s="99"/>
      <c r="H4" s="99"/>
      <c r="I4" s="99"/>
    </row>
    <row r="5" spans="1:9" ht="15.75" customHeight="1">
      <c r="A5" s="52"/>
      <c r="B5" s="54"/>
      <c r="C5" s="54"/>
      <c r="F5" s="52"/>
      <c r="G5" s="52"/>
      <c r="H5" s="52"/>
      <c r="I5" s="52"/>
    </row>
    <row r="6" spans="1:9" ht="15.75" customHeight="1" thickBot="1">
      <c r="A6" s="55"/>
      <c r="B6" s="56"/>
      <c r="C6" s="56"/>
      <c r="D6" s="3"/>
      <c r="E6" s="3"/>
      <c r="F6" s="55"/>
      <c r="G6" s="55"/>
      <c r="H6" s="55"/>
      <c r="I6" s="52"/>
    </row>
    <row r="7" spans="1:9" ht="21" customHeight="1" thickTop="1">
      <c r="A7" s="57" t="s">
        <v>1</v>
      </c>
      <c r="B7" s="58" t="s">
        <v>3</v>
      </c>
      <c r="C7" s="23" t="s">
        <v>285</v>
      </c>
      <c r="D7" s="11" t="s">
        <v>2</v>
      </c>
      <c r="E7" s="11" t="s">
        <v>11</v>
      </c>
      <c r="F7" s="59" t="s">
        <v>4</v>
      </c>
      <c r="G7" s="59" t="s">
        <v>5</v>
      </c>
      <c r="H7" s="73" t="s">
        <v>13</v>
      </c>
      <c r="I7" s="53" t="s">
        <v>0</v>
      </c>
    </row>
    <row r="8" spans="1:9" ht="21" customHeight="1">
      <c r="A8" s="60"/>
      <c r="B8" s="72" t="s">
        <v>15</v>
      </c>
      <c r="C8" s="72" t="s">
        <v>316</v>
      </c>
      <c r="D8" s="12">
        <v>83006884161</v>
      </c>
      <c r="E8" s="30" t="s">
        <v>16</v>
      </c>
      <c r="F8" s="46">
        <v>39</v>
      </c>
      <c r="G8" s="46">
        <v>137</v>
      </c>
      <c r="H8" s="74">
        <v>74</v>
      </c>
      <c r="I8" s="51">
        <f>F8+G8+H8</f>
        <v>250</v>
      </c>
    </row>
    <row r="9" spans="1:9" ht="21" customHeight="1">
      <c r="A9" s="60"/>
      <c r="B9" s="26" t="s">
        <v>17</v>
      </c>
      <c r="C9" s="26" t="s">
        <v>314</v>
      </c>
      <c r="D9" s="12">
        <v>83001699293</v>
      </c>
      <c r="E9" s="30" t="s">
        <v>19</v>
      </c>
      <c r="F9" s="46">
        <v>1578.5</v>
      </c>
      <c r="G9" s="46">
        <v>0</v>
      </c>
      <c r="H9" s="74">
        <v>0</v>
      </c>
      <c r="I9" s="51">
        <f aca="true" t="shared" si="0" ref="I9:I59">F9+G9+H9</f>
        <v>1578.5</v>
      </c>
    </row>
    <row r="10" spans="1:9" ht="21" customHeight="1">
      <c r="A10" s="60"/>
      <c r="B10" s="26" t="s">
        <v>18</v>
      </c>
      <c r="C10" s="26" t="s">
        <v>324</v>
      </c>
      <c r="D10" s="12">
        <v>83002793469</v>
      </c>
      <c r="E10" s="30" t="s">
        <v>20</v>
      </c>
      <c r="F10" s="46">
        <v>2405</v>
      </c>
      <c r="G10" s="46">
        <v>1316</v>
      </c>
      <c r="H10" s="74">
        <v>374</v>
      </c>
      <c r="I10" s="51">
        <f t="shared" si="0"/>
        <v>4095</v>
      </c>
    </row>
    <row r="11" spans="1:9" ht="21" customHeight="1">
      <c r="A11" s="60"/>
      <c r="B11" s="26" t="s">
        <v>21</v>
      </c>
      <c r="C11" s="26" t="s">
        <v>365</v>
      </c>
      <c r="D11" s="12">
        <v>83005319585</v>
      </c>
      <c r="E11" s="30" t="s">
        <v>22</v>
      </c>
      <c r="F11" s="46">
        <v>165</v>
      </c>
      <c r="G11" s="46">
        <v>525</v>
      </c>
      <c r="H11" s="74">
        <v>134</v>
      </c>
      <c r="I11" s="51">
        <f t="shared" si="0"/>
        <v>824</v>
      </c>
    </row>
    <row r="12" spans="1:9" ht="21" customHeight="1">
      <c r="A12" s="60"/>
      <c r="B12" s="26" t="s">
        <v>23</v>
      </c>
      <c r="C12" s="26" t="s">
        <v>325</v>
      </c>
      <c r="D12" s="61">
        <v>999395654431</v>
      </c>
      <c r="E12" s="30" t="s">
        <v>24</v>
      </c>
      <c r="F12" s="46">
        <v>3723</v>
      </c>
      <c r="G12" s="46">
        <v>2391</v>
      </c>
      <c r="H12" s="74">
        <v>1556</v>
      </c>
      <c r="I12" s="51">
        <f t="shared" si="0"/>
        <v>7670</v>
      </c>
    </row>
    <row r="13" spans="1:9" ht="21" customHeight="1">
      <c r="A13" s="60"/>
      <c r="B13" s="26" t="s">
        <v>25</v>
      </c>
      <c r="C13" s="26" t="s">
        <v>315</v>
      </c>
      <c r="D13" s="61">
        <v>999395655454</v>
      </c>
      <c r="E13" s="30" t="s">
        <v>26</v>
      </c>
      <c r="F13" s="46">
        <v>398</v>
      </c>
      <c r="G13" s="46">
        <v>1374</v>
      </c>
      <c r="H13" s="74">
        <v>179</v>
      </c>
      <c r="I13" s="51">
        <f t="shared" si="0"/>
        <v>1951</v>
      </c>
    </row>
    <row r="14" spans="1:9" ht="21" customHeight="1">
      <c r="A14" s="60"/>
      <c r="B14" s="26" t="s">
        <v>27</v>
      </c>
      <c r="C14" s="26" t="s">
        <v>326</v>
      </c>
      <c r="D14" s="61">
        <v>512012286</v>
      </c>
      <c r="E14" s="30" t="s">
        <v>28</v>
      </c>
      <c r="F14" s="46">
        <v>2021</v>
      </c>
      <c r="G14" s="46">
        <v>961</v>
      </c>
      <c r="H14" s="74">
        <v>299</v>
      </c>
      <c r="I14" s="51">
        <f t="shared" si="0"/>
        <v>3281</v>
      </c>
    </row>
    <row r="15" spans="1:9" ht="21" customHeight="1">
      <c r="A15" s="60"/>
      <c r="B15" s="26" t="s">
        <v>29</v>
      </c>
      <c r="C15" s="26" t="s">
        <v>327</v>
      </c>
      <c r="D15" s="61">
        <v>999395659634</v>
      </c>
      <c r="E15" s="30" t="s">
        <v>30</v>
      </c>
      <c r="F15" s="46">
        <v>2031</v>
      </c>
      <c r="G15" s="46">
        <v>927</v>
      </c>
      <c r="H15" s="74">
        <v>387</v>
      </c>
      <c r="I15" s="51">
        <f t="shared" si="0"/>
        <v>3345</v>
      </c>
    </row>
    <row r="16" spans="1:9" ht="21" customHeight="1">
      <c r="A16" s="60"/>
      <c r="B16" s="26" t="s">
        <v>31</v>
      </c>
      <c r="C16" s="26" t="s">
        <v>317</v>
      </c>
      <c r="D16" s="61">
        <v>999395660462</v>
      </c>
      <c r="E16" s="30" t="s">
        <v>32</v>
      </c>
      <c r="F16" s="46">
        <v>388</v>
      </c>
      <c r="G16" s="46">
        <v>870</v>
      </c>
      <c r="H16" s="74">
        <v>649</v>
      </c>
      <c r="I16" s="51">
        <f t="shared" si="0"/>
        <v>1907</v>
      </c>
    </row>
    <row r="17" spans="1:9" ht="21" customHeight="1">
      <c r="A17" s="60"/>
      <c r="B17" s="26" t="s">
        <v>33</v>
      </c>
      <c r="C17" s="26" t="s">
        <v>366</v>
      </c>
      <c r="D17" s="61">
        <v>999395662284</v>
      </c>
      <c r="E17" s="30" t="s">
        <v>34</v>
      </c>
      <c r="F17" s="46">
        <v>2056</v>
      </c>
      <c r="G17" s="46">
        <v>6173</v>
      </c>
      <c r="H17" s="74">
        <v>2674</v>
      </c>
      <c r="I17" s="51">
        <f t="shared" si="0"/>
        <v>10903</v>
      </c>
    </row>
    <row r="18" spans="1:9" ht="21" customHeight="1">
      <c r="A18" s="60"/>
      <c r="B18" s="26" t="s">
        <v>35</v>
      </c>
      <c r="C18" s="26" t="s">
        <v>292</v>
      </c>
      <c r="D18" s="61">
        <v>999395662947</v>
      </c>
      <c r="E18" s="30" t="s">
        <v>36</v>
      </c>
      <c r="F18" s="46">
        <v>435</v>
      </c>
      <c r="G18" s="46">
        <v>2124</v>
      </c>
      <c r="H18" s="74">
        <v>283</v>
      </c>
      <c r="I18" s="51">
        <f t="shared" si="0"/>
        <v>2842</v>
      </c>
    </row>
    <row r="19" spans="1:9" ht="21" customHeight="1">
      <c r="A19" s="60"/>
      <c r="B19" s="26" t="s">
        <v>37</v>
      </c>
      <c r="C19" s="26" t="s">
        <v>369</v>
      </c>
      <c r="D19" s="61">
        <v>999395663410</v>
      </c>
      <c r="E19" s="30" t="s">
        <v>38</v>
      </c>
      <c r="F19" s="46">
        <v>439</v>
      </c>
      <c r="G19" s="46">
        <v>1431</v>
      </c>
      <c r="H19" s="74">
        <v>308</v>
      </c>
      <c r="I19" s="51">
        <f t="shared" si="0"/>
        <v>2178</v>
      </c>
    </row>
    <row r="20" spans="1:9" ht="21" customHeight="1">
      <c r="A20" s="60"/>
      <c r="B20" s="26" t="s">
        <v>39</v>
      </c>
      <c r="C20" s="26" t="s">
        <v>293</v>
      </c>
      <c r="D20" s="61">
        <v>999395665004</v>
      </c>
      <c r="E20" s="30" t="s">
        <v>40</v>
      </c>
      <c r="F20" s="46"/>
      <c r="G20" s="46"/>
      <c r="H20" s="74"/>
      <c r="I20" s="51">
        <f t="shared" si="0"/>
        <v>0</v>
      </c>
    </row>
    <row r="21" spans="1:9" ht="21" customHeight="1">
      <c r="A21" s="60"/>
      <c r="B21" s="26" t="s">
        <v>41</v>
      </c>
      <c r="C21" s="26" t="s">
        <v>367</v>
      </c>
      <c r="D21" s="61">
        <v>999395665500</v>
      </c>
      <c r="E21" s="30" t="s">
        <v>42</v>
      </c>
      <c r="F21" s="46">
        <v>837</v>
      </c>
      <c r="G21" s="46">
        <v>1903</v>
      </c>
      <c r="H21" s="74">
        <v>749</v>
      </c>
      <c r="I21" s="51">
        <f t="shared" si="0"/>
        <v>3489</v>
      </c>
    </row>
    <row r="22" spans="1:9" ht="21" customHeight="1">
      <c r="A22" s="60"/>
      <c r="B22" s="26" t="s">
        <v>43</v>
      </c>
      <c r="C22" s="93"/>
      <c r="D22" s="61">
        <v>999395674678</v>
      </c>
      <c r="E22" s="30" t="s">
        <v>44</v>
      </c>
      <c r="F22" s="46">
        <v>204</v>
      </c>
      <c r="G22" s="46">
        <v>0</v>
      </c>
      <c r="H22" s="74">
        <v>338</v>
      </c>
      <c r="I22" s="51">
        <f t="shared" si="0"/>
        <v>542</v>
      </c>
    </row>
    <row r="23" spans="1:9" ht="21" customHeight="1">
      <c r="A23" s="60"/>
      <c r="B23" s="26" t="s">
        <v>45</v>
      </c>
      <c r="C23" s="26" t="s">
        <v>307</v>
      </c>
      <c r="D23" s="61">
        <v>999395675751</v>
      </c>
      <c r="E23" s="30" t="s">
        <v>46</v>
      </c>
      <c r="F23" s="46">
        <v>709</v>
      </c>
      <c r="G23" s="46">
        <v>1425</v>
      </c>
      <c r="H23" s="74">
        <v>385</v>
      </c>
      <c r="I23" s="51">
        <f t="shared" si="0"/>
        <v>2519</v>
      </c>
    </row>
    <row r="24" spans="1:9" s="19" customFormat="1" ht="21" customHeight="1">
      <c r="A24" s="60"/>
      <c r="B24" s="26" t="s">
        <v>47</v>
      </c>
      <c r="C24" s="26" t="s">
        <v>318</v>
      </c>
      <c r="D24" s="61">
        <v>999395676257</v>
      </c>
      <c r="E24" s="30" t="s">
        <v>48</v>
      </c>
      <c r="F24" s="46">
        <v>80</v>
      </c>
      <c r="G24" s="46">
        <v>289</v>
      </c>
      <c r="H24" s="74">
        <v>88</v>
      </c>
      <c r="I24" s="51">
        <f t="shared" si="0"/>
        <v>457</v>
      </c>
    </row>
    <row r="25" spans="1:9" s="19" customFormat="1" ht="21" customHeight="1">
      <c r="A25" s="60"/>
      <c r="B25" s="26" t="s">
        <v>49</v>
      </c>
      <c r="C25" s="26" t="s">
        <v>328</v>
      </c>
      <c r="D25" s="61">
        <v>999395676905</v>
      </c>
      <c r="E25" s="30" t="s">
        <v>50</v>
      </c>
      <c r="F25" s="46">
        <v>637</v>
      </c>
      <c r="G25" s="46">
        <v>1200</v>
      </c>
      <c r="H25" s="74">
        <v>90</v>
      </c>
      <c r="I25" s="51">
        <f t="shared" si="0"/>
        <v>1927</v>
      </c>
    </row>
    <row r="26" spans="1:9" ht="21" customHeight="1">
      <c r="A26" s="60"/>
      <c r="B26" s="26" t="s">
        <v>51</v>
      </c>
      <c r="C26" s="93"/>
      <c r="D26" s="61">
        <v>999395677339</v>
      </c>
      <c r="E26" s="30" t="s">
        <v>52</v>
      </c>
      <c r="F26" s="46">
        <v>295</v>
      </c>
      <c r="G26" s="46">
        <v>1307</v>
      </c>
      <c r="H26" s="74">
        <v>2</v>
      </c>
      <c r="I26" s="51">
        <f t="shared" si="0"/>
        <v>1604</v>
      </c>
    </row>
    <row r="27" spans="1:9" ht="21" customHeight="1">
      <c r="A27" s="60"/>
      <c r="B27" s="26" t="s">
        <v>53</v>
      </c>
      <c r="C27" s="93"/>
      <c r="D27" s="61">
        <v>999395680029</v>
      </c>
      <c r="E27" s="30" t="s">
        <v>54</v>
      </c>
      <c r="F27" s="46">
        <v>221</v>
      </c>
      <c r="G27" s="46">
        <v>954</v>
      </c>
      <c r="H27" s="74">
        <v>0</v>
      </c>
      <c r="I27" s="51">
        <f t="shared" si="0"/>
        <v>1175</v>
      </c>
    </row>
    <row r="28" spans="1:9" ht="21" customHeight="1">
      <c r="A28" s="60"/>
      <c r="B28" s="26" t="s">
        <v>55</v>
      </c>
      <c r="C28" s="26" t="s">
        <v>294</v>
      </c>
      <c r="D28" s="61">
        <v>999395682858</v>
      </c>
      <c r="E28" s="30" t="s">
        <v>56</v>
      </c>
      <c r="F28" s="46">
        <v>544</v>
      </c>
      <c r="G28" s="46">
        <v>1655</v>
      </c>
      <c r="H28" s="74">
        <v>523</v>
      </c>
      <c r="I28" s="51">
        <f t="shared" si="0"/>
        <v>2722</v>
      </c>
    </row>
    <row r="29" spans="1:9" ht="21" customHeight="1">
      <c r="A29" s="60"/>
      <c r="B29" s="26" t="s">
        <v>57</v>
      </c>
      <c r="C29" s="26" t="s">
        <v>295</v>
      </c>
      <c r="D29" s="12">
        <v>512095448</v>
      </c>
      <c r="E29" s="30" t="s">
        <v>58</v>
      </c>
      <c r="F29" s="46">
        <v>995</v>
      </c>
      <c r="G29" s="46">
        <v>3253</v>
      </c>
      <c r="H29" s="74">
        <v>694</v>
      </c>
      <c r="I29" s="51">
        <f t="shared" si="0"/>
        <v>4942</v>
      </c>
    </row>
    <row r="30" spans="1:9" ht="21" customHeight="1">
      <c r="A30" s="60"/>
      <c r="B30" s="26" t="s">
        <v>59</v>
      </c>
      <c r="C30" s="26" t="s">
        <v>296</v>
      </c>
      <c r="D30" s="61">
        <v>999395695033</v>
      </c>
      <c r="E30" s="30" t="s">
        <v>60</v>
      </c>
      <c r="F30" s="46">
        <v>2440</v>
      </c>
      <c r="G30" s="46">
        <v>0</v>
      </c>
      <c r="H30" s="74">
        <v>0</v>
      </c>
      <c r="I30" s="51">
        <f t="shared" si="0"/>
        <v>2440</v>
      </c>
    </row>
    <row r="31" spans="1:9" ht="21" customHeight="1">
      <c r="A31" s="60"/>
      <c r="B31" s="26" t="s">
        <v>61</v>
      </c>
      <c r="C31" s="26" t="s">
        <v>296</v>
      </c>
      <c r="D31" s="61">
        <v>999395696742</v>
      </c>
      <c r="E31" s="30" t="s">
        <v>62</v>
      </c>
      <c r="F31" s="46">
        <f>8124/2</f>
        <v>4062</v>
      </c>
      <c r="G31" s="46">
        <v>0</v>
      </c>
      <c r="H31" s="74">
        <v>0</v>
      </c>
      <c r="I31" s="51">
        <f t="shared" si="0"/>
        <v>4062</v>
      </c>
    </row>
    <row r="32" spans="1:9" ht="21" customHeight="1">
      <c r="A32" s="60"/>
      <c r="B32" s="26" t="s">
        <v>63</v>
      </c>
      <c r="C32" s="26" t="s">
        <v>308</v>
      </c>
      <c r="D32" s="61">
        <v>999395697615</v>
      </c>
      <c r="E32" s="30" t="s">
        <v>64</v>
      </c>
      <c r="F32" s="46">
        <f>5598/2</f>
        <v>2799</v>
      </c>
      <c r="G32" s="46">
        <v>0</v>
      </c>
      <c r="H32" s="74">
        <v>0</v>
      </c>
      <c r="I32" s="51">
        <f t="shared" si="0"/>
        <v>2799</v>
      </c>
    </row>
    <row r="33" spans="1:9" ht="21" customHeight="1">
      <c r="A33" s="60"/>
      <c r="B33" s="26" t="s">
        <v>65</v>
      </c>
      <c r="C33" s="26" t="s">
        <v>297</v>
      </c>
      <c r="D33" s="61">
        <v>999395698321</v>
      </c>
      <c r="E33" s="30" t="s">
        <v>66</v>
      </c>
      <c r="F33" s="46">
        <f>4427/2</f>
        <v>2213.5</v>
      </c>
      <c r="G33" s="46">
        <v>0</v>
      </c>
      <c r="H33" s="74">
        <v>0</v>
      </c>
      <c r="I33" s="51">
        <f t="shared" si="0"/>
        <v>2213.5</v>
      </c>
    </row>
    <row r="34" spans="1:9" ht="21" customHeight="1">
      <c r="A34" s="60"/>
      <c r="B34" s="26" t="s">
        <v>67</v>
      </c>
      <c r="C34" s="26" t="s">
        <v>309</v>
      </c>
      <c r="D34" s="62">
        <v>999395698661</v>
      </c>
      <c r="E34" s="31" t="s">
        <v>68</v>
      </c>
      <c r="F34" s="47">
        <f>1944/2</f>
        <v>972</v>
      </c>
      <c r="G34" s="47">
        <v>0</v>
      </c>
      <c r="H34" s="75">
        <v>0</v>
      </c>
      <c r="I34" s="51">
        <f t="shared" si="0"/>
        <v>972</v>
      </c>
    </row>
    <row r="35" spans="1:9" s="20" customFormat="1" ht="21" customHeight="1">
      <c r="A35" s="60"/>
      <c r="B35" s="26" t="s">
        <v>69</v>
      </c>
      <c r="C35" s="26"/>
      <c r="D35" s="61">
        <v>999395699042</v>
      </c>
      <c r="E35" s="30" t="s">
        <v>70</v>
      </c>
      <c r="F35" s="46">
        <f>7763/2</f>
        <v>3881.5</v>
      </c>
      <c r="G35" s="46">
        <v>0</v>
      </c>
      <c r="H35" s="74">
        <v>0</v>
      </c>
      <c r="I35" s="51">
        <f t="shared" si="0"/>
        <v>3881.5</v>
      </c>
    </row>
    <row r="36" spans="1:9" ht="21" customHeight="1">
      <c r="A36" s="60"/>
      <c r="B36" s="26" t="s">
        <v>71</v>
      </c>
      <c r="C36" s="93"/>
      <c r="D36" s="61">
        <v>999395699192</v>
      </c>
      <c r="E36" s="30" t="s">
        <v>72</v>
      </c>
      <c r="F36" s="47">
        <f>1621/2</f>
        <v>810.5</v>
      </c>
      <c r="G36" s="47">
        <v>0</v>
      </c>
      <c r="H36" s="75">
        <v>0</v>
      </c>
      <c r="I36" s="92">
        <f t="shared" si="0"/>
        <v>810.5</v>
      </c>
    </row>
    <row r="37" spans="1:9" ht="21" customHeight="1">
      <c r="A37" s="60"/>
      <c r="B37" s="26" t="s">
        <v>73</v>
      </c>
      <c r="C37" s="93"/>
      <c r="D37" s="61">
        <v>999395699382</v>
      </c>
      <c r="E37" s="30" t="s">
        <v>74</v>
      </c>
      <c r="F37" s="46">
        <f>2076/2</f>
        <v>1038</v>
      </c>
      <c r="G37" s="46">
        <v>0</v>
      </c>
      <c r="H37" s="74">
        <v>0</v>
      </c>
      <c r="I37" s="51">
        <f t="shared" si="0"/>
        <v>1038</v>
      </c>
    </row>
    <row r="38" spans="1:9" ht="21" customHeight="1">
      <c r="A38" s="60"/>
      <c r="B38" s="26" t="s">
        <v>75</v>
      </c>
      <c r="C38" s="26" t="s">
        <v>298</v>
      </c>
      <c r="D38" s="61">
        <v>999395699631</v>
      </c>
      <c r="E38" s="30" t="s">
        <v>76</v>
      </c>
      <c r="F38" s="46">
        <f>274/2</f>
        <v>137</v>
      </c>
      <c r="G38" s="46">
        <v>0</v>
      </c>
      <c r="H38" s="74">
        <v>0</v>
      </c>
      <c r="I38" s="51">
        <f t="shared" si="0"/>
        <v>137</v>
      </c>
    </row>
    <row r="39" spans="1:9" ht="21" customHeight="1">
      <c r="A39" s="60"/>
      <c r="B39" s="26" t="s">
        <v>77</v>
      </c>
      <c r="C39" s="93"/>
      <c r="D39" s="61">
        <v>999395699855</v>
      </c>
      <c r="E39" s="30" t="s">
        <v>78</v>
      </c>
      <c r="F39" s="46">
        <f>1810/2</f>
        <v>905</v>
      </c>
      <c r="G39" s="46">
        <v>0</v>
      </c>
      <c r="H39" s="74">
        <v>0</v>
      </c>
      <c r="I39" s="51">
        <f t="shared" si="0"/>
        <v>905</v>
      </c>
    </row>
    <row r="40" spans="1:9" ht="21" customHeight="1">
      <c r="A40" s="60"/>
      <c r="B40" s="26" t="s">
        <v>79</v>
      </c>
      <c r="C40" s="26" t="s">
        <v>299</v>
      </c>
      <c r="D40" s="61">
        <v>999395699914</v>
      </c>
      <c r="E40" s="30" t="s">
        <v>80</v>
      </c>
      <c r="F40" s="46">
        <f>4136/2</f>
        <v>2068</v>
      </c>
      <c r="G40" s="46">
        <v>0</v>
      </c>
      <c r="H40" s="74">
        <v>0</v>
      </c>
      <c r="I40" s="51">
        <f t="shared" si="0"/>
        <v>2068</v>
      </c>
    </row>
    <row r="41" spans="1:9" ht="21" customHeight="1">
      <c r="A41" s="60"/>
      <c r="B41" s="26" t="s">
        <v>81</v>
      </c>
      <c r="C41" s="26" t="s">
        <v>329</v>
      </c>
      <c r="D41" s="61">
        <v>999395720675</v>
      </c>
      <c r="E41" s="30" t="s">
        <v>82</v>
      </c>
      <c r="F41" s="46">
        <f>8881/2</f>
        <v>4440.5</v>
      </c>
      <c r="G41" s="46">
        <v>0</v>
      </c>
      <c r="H41" s="74">
        <v>0</v>
      </c>
      <c r="I41" s="51">
        <f t="shared" si="0"/>
        <v>4440.5</v>
      </c>
    </row>
    <row r="42" spans="1:9" ht="21" customHeight="1">
      <c r="A42" s="60"/>
      <c r="B42" s="26" t="s">
        <v>83</v>
      </c>
      <c r="C42" s="26" t="s">
        <v>300</v>
      </c>
      <c r="D42" s="61">
        <v>999395721493</v>
      </c>
      <c r="E42" s="30" t="s">
        <v>84</v>
      </c>
      <c r="F42" s="46">
        <f>4860/2</f>
        <v>2430</v>
      </c>
      <c r="G42" s="46">
        <v>0</v>
      </c>
      <c r="H42" s="74">
        <v>0</v>
      </c>
      <c r="I42" s="51">
        <f t="shared" si="0"/>
        <v>2430</v>
      </c>
    </row>
    <row r="43" spans="1:9" ht="21" customHeight="1">
      <c r="A43" s="60"/>
      <c r="B43" s="26" t="s">
        <v>85</v>
      </c>
      <c r="C43" s="26"/>
      <c r="D43" s="61">
        <v>999395728957</v>
      </c>
      <c r="E43" s="30" t="s">
        <v>86</v>
      </c>
      <c r="F43" s="46">
        <f>470/2</f>
        <v>235</v>
      </c>
      <c r="G43" s="46">
        <v>0</v>
      </c>
      <c r="H43" s="74">
        <v>0</v>
      </c>
      <c r="I43" s="51">
        <f t="shared" si="0"/>
        <v>235</v>
      </c>
    </row>
    <row r="44" spans="1:9" ht="21" customHeight="1">
      <c r="A44" s="60"/>
      <c r="B44" s="26" t="s">
        <v>87</v>
      </c>
      <c r="C44" s="26" t="s">
        <v>330</v>
      </c>
      <c r="D44" s="61">
        <v>999395729357</v>
      </c>
      <c r="E44" s="30" t="s">
        <v>88</v>
      </c>
      <c r="F44" s="46">
        <f>1101/2</f>
        <v>550.5</v>
      </c>
      <c r="G44" s="46">
        <v>0</v>
      </c>
      <c r="H44" s="74">
        <v>0</v>
      </c>
      <c r="I44" s="51">
        <f t="shared" si="0"/>
        <v>550.5</v>
      </c>
    </row>
    <row r="45" spans="1:9" ht="21" customHeight="1">
      <c r="A45" s="60"/>
      <c r="B45" s="26" t="s">
        <v>89</v>
      </c>
      <c r="C45" s="93"/>
      <c r="D45" s="61">
        <v>999395729815</v>
      </c>
      <c r="E45" s="30" t="s">
        <v>90</v>
      </c>
      <c r="F45" s="46">
        <f>923/2</f>
        <v>461.5</v>
      </c>
      <c r="G45" s="46">
        <v>0</v>
      </c>
      <c r="H45" s="74">
        <v>0</v>
      </c>
      <c r="I45" s="51">
        <f t="shared" si="0"/>
        <v>461.5</v>
      </c>
    </row>
    <row r="46" spans="1:9" ht="21" customHeight="1">
      <c r="A46" s="60"/>
      <c r="B46" s="26" t="s">
        <v>94</v>
      </c>
      <c r="C46" s="26" t="s">
        <v>331</v>
      </c>
      <c r="D46" s="61">
        <v>999395730546</v>
      </c>
      <c r="E46" s="30" t="s">
        <v>91</v>
      </c>
      <c r="F46" s="46">
        <f>38/2</f>
        <v>19</v>
      </c>
      <c r="G46" s="46">
        <v>0</v>
      </c>
      <c r="H46" s="74">
        <v>0</v>
      </c>
      <c r="I46" s="51">
        <f t="shared" si="0"/>
        <v>19</v>
      </c>
    </row>
    <row r="47" spans="1:9" ht="21" customHeight="1">
      <c r="A47" s="60"/>
      <c r="B47" s="26" t="s">
        <v>92</v>
      </c>
      <c r="C47" s="26" t="s">
        <v>319</v>
      </c>
      <c r="D47" s="61">
        <v>999395731005</v>
      </c>
      <c r="E47" s="32" t="s">
        <v>93</v>
      </c>
      <c r="F47" s="46">
        <f>1356/2</f>
        <v>678</v>
      </c>
      <c r="G47" s="46">
        <v>0</v>
      </c>
      <c r="H47" s="74">
        <v>0</v>
      </c>
      <c r="I47" s="51">
        <f t="shared" si="0"/>
        <v>678</v>
      </c>
    </row>
    <row r="48" spans="1:9" ht="21" customHeight="1">
      <c r="A48" s="60"/>
      <c r="B48" s="26" t="s">
        <v>95</v>
      </c>
      <c r="C48" s="93"/>
      <c r="D48" s="61">
        <v>999395731797</v>
      </c>
      <c r="E48" s="30" t="s">
        <v>96</v>
      </c>
      <c r="F48" s="46">
        <v>772</v>
      </c>
      <c r="G48" s="46">
        <v>0</v>
      </c>
      <c r="H48" s="74">
        <v>0</v>
      </c>
      <c r="I48" s="51">
        <f t="shared" si="0"/>
        <v>772</v>
      </c>
    </row>
    <row r="49" spans="1:9" ht="21" customHeight="1">
      <c r="A49" s="60"/>
      <c r="B49" s="26" t="s">
        <v>97</v>
      </c>
      <c r="C49" s="26"/>
      <c r="D49" s="61">
        <v>999395850272</v>
      </c>
      <c r="E49" s="30" t="s">
        <v>98</v>
      </c>
      <c r="F49" s="46">
        <v>1526</v>
      </c>
      <c r="G49" s="46">
        <v>1653</v>
      </c>
      <c r="H49" s="74">
        <v>4018</v>
      </c>
      <c r="I49" s="51">
        <f t="shared" si="0"/>
        <v>7197</v>
      </c>
    </row>
    <row r="50" spans="1:9" ht="21" customHeight="1">
      <c r="A50" s="60"/>
      <c r="B50" s="26" t="s">
        <v>99</v>
      </c>
      <c r="C50" s="93"/>
      <c r="D50" s="61">
        <v>999395869847</v>
      </c>
      <c r="E50" s="30" t="s">
        <v>100</v>
      </c>
      <c r="F50" s="46">
        <v>819</v>
      </c>
      <c r="G50" s="46">
        <v>2339</v>
      </c>
      <c r="H50" s="74">
        <v>0</v>
      </c>
      <c r="I50" s="51">
        <f t="shared" si="0"/>
        <v>3158</v>
      </c>
    </row>
    <row r="51" spans="1:9" ht="21" customHeight="1">
      <c r="A51" s="60"/>
      <c r="B51" s="26" t="s">
        <v>101</v>
      </c>
      <c r="C51" s="26" t="s">
        <v>371</v>
      </c>
      <c r="D51" s="12">
        <v>83007836944</v>
      </c>
      <c r="E51" s="30" t="s">
        <v>102</v>
      </c>
      <c r="F51" s="46">
        <f>1056/2</f>
        <v>528</v>
      </c>
      <c r="G51" s="46">
        <v>0</v>
      </c>
      <c r="H51" s="74">
        <v>0</v>
      </c>
      <c r="I51" s="51">
        <f t="shared" si="0"/>
        <v>528</v>
      </c>
    </row>
    <row r="52" spans="1:9" ht="21" customHeight="1">
      <c r="A52" s="60"/>
      <c r="B52" s="26" t="s">
        <v>103</v>
      </c>
      <c r="C52" s="26" t="s">
        <v>286</v>
      </c>
      <c r="D52" s="61">
        <v>999418107083</v>
      </c>
      <c r="E52" s="30" t="s">
        <v>104</v>
      </c>
      <c r="F52" s="46">
        <f>18134/2</f>
        <v>9067</v>
      </c>
      <c r="G52" s="46">
        <v>0</v>
      </c>
      <c r="H52" s="74">
        <v>0</v>
      </c>
      <c r="I52" s="51">
        <f t="shared" si="0"/>
        <v>9067</v>
      </c>
    </row>
    <row r="53" spans="1:9" ht="21" customHeight="1">
      <c r="A53" s="60"/>
      <c r="B53" s="26" t="s">
        <v>105</v>
      </c>
      <c r="C53" s="26" t="s">
        <v>332</v>
      </c>
      <c r="D53" s="61">
        <v>999418108530</v>
      </c>
      <c r="E53" s="30" t="s">
        <v>106</v>
      </c>
      <c r="F53" s="46">
        <v>469</v>
      </c>
      <c r="G53" s="46">
        <v>1130</v>
      </c>
      <c r="H53" s="74">
        <v>293</v>
      </c>
      <c r="I53" s="51">
        <f t="shared" si="0"/>
        <v>1892</v>
      </c>
    </row>
    <row r="54" spans="1:9" ht="21" customHeight="1">
      <c r="A54" s="60"/>
      <c r="B54" s="26" t="s">
        <v>107</v>
      </c>
      <c r="C54" s="26" t="s">
        <v>302</v>
      </c>
      <c r="D54" s="61">
        <v>999444028261</v>
      </c>
      <c r="E54" s="30" t="s">
        <v>108</v>
      </c>
      <c r="F54" s="46">
        <v>14</v>
      </c>
      <c r="G54" s="46">
        <v>42</v>
      </c>
      <c r="H54" s="74">
        <v>31</v>
      </c>
      <c r="I54" s="51">
        <f t="shared" si="0"/>
        <v>87</v>
      </c>
    </row>
    <row r="55" spans="1:9" ht="21" customHeight="1">
      <c r="A55" s="60"/>
      <c r="B55" s="26" t="s">
        <v>109</v>
      </c>
      <c r="C55" s="26" t="s">
        <v>313</v>
      </c>
      <c r="D55" s="12">
        <v>83000769293</v>
      </c>
      <c r="E55" s="30" t="s">
        <v>110</v>
      </c>
      <c r="F55" s="46">
        <v>454</v>
      </c>
      <c r="G55" s="46">
        <v>800</v>
      </c>
      <c r="H55" s="74">
        <v>110</v>
      </c>
      <c r="I55" s="51">
        <f t="shared" si="0"/>
        <v>1364</v>
      </c>
    </row>
    <row r="56" spans="1:9" s="19" customFormat="1" ht="21" customHeight="1">
      <c r="A56" s="60"/>
      <c r="B56" s="35" t="s">
        <v>125</v>
      </c>
      <c r="C56" s="94"/>
      <c r="D56" s="36">
        <v>60006203645</v>
      </c>
      <c r="E56" s="37" t="s">
        <v>126</v>
      </c>
      <c r="F56" s="48">
        <v>195</v>
      </c>
      <c r="G56" s="46">
        <v>0</v>
      </c>
      <c r="H56" s="48">
        <v>0</v>
      </c>
      <c r="I56" s="51">
        <f t="shared" si="0"/>
        <v>195</v>
      </c>
    </row>
    <row r="57" spans="1:9" s="29" customFormat="1" ht="21" customHeight="1">
      <c r="A57" s="60"/>
      <c r="B57" s="26" t="s">
        <v>127</v>
      </c>
      <c r="C57" s="93"/>
      <c r="D57" s="12">
        <v>60007966411</v>
      </c>
      <c r="E57" s="30" t="s">
        <v>128</v>
      </c>
      <c r="F57" s="46">
        <v>448</v>
      </c>
      <c r="G57" s="46">
        <v>0</v>
      </c>
      <c r="H57" s="74">
        <v>0</v>
      </c>
      <c r="I57" s="51">
        <f t="shared" si="0"/>
        <v>448</v>
      </c>
    </row>
    <row r="58" spans="1:9" ht="21" customHeight="1">
      <c r="A58" s="60"/>
      <c r="B58" s="26" t="s">
        <v>129</v>
      </c>
      <c r="C58" s="26" t="s">
        <v>289</v>
      </c>
      <c r="D58" s="12">
        <v>60006643135</v>
      </c>
      <c r="E58" s="30" t="s">
        <v>130</v>
      </c>
      <c r="F58" s="46">
        <f>699/2</f>
        <v>349.5</v>
      </c>
      <c r="G58" s="46">
        <v>0</v>
      </c>
      <c r="H58" s="74">
        <v>0</v>
      </c>
      <c r="I58" s="51">
        <f t="shared" si="0"/>
        <v>349.5</v>
      </c>
    </row>
    <row r="59" spans="1:9" ht="21" customHeight="1">
      <c r="A59" s="60"/>
      <c r="B59" s="26" t="s">
        <v>131</v>
      </c>
      <c r="C59" s="93"/>
      <c r="D59" s="12">
        <v>60007843244</v>
      </c>
      <c r="E59" s="30" t="s">
        <v>132</v>
      </c>
      <c r="F59" s="46">
        <f>592/2</f>
        <v>296</v>
      </c>
      <c r="G59" s="46">
        <v>0</v>
      </c>
      <c r="H59" s="74">
        <v>0</v>
      </c>
      <c r="I59" s="51">
        <f t="shared" si="0"/>
        <v>296</v>
      </c>
    </row>
    <row r="60" spans="1:9" ht="21" customHeight="1">
      <c r="A60" s="60"/>
      <c r="B60" s="26" t="s">
        <v>133</v>
      </c>
      <c r="C60" s="26" t="s">
        <v>322</v>
      </c>
      <c r="D60" s="12">
        <v>60007843069</v>
      </c>
      <c r="E60" s="30" t="s">
        <v>134</v>
      </c>
      <c r="F60" s="46">
        <f>820/2</f>
        <v>410</v>
      </c>
      <c r="G60" s="46">
        <v>0</v>
      </c>
      <c r="H60" s="74">
        <v>0</v>
      </c>
      <c r="I60" s="51">
        <f aca="true" t="shared" si="1" ref="I60:I120">F60+G60+H60</f>
        <v>410</v>
      </c>
    </row>
    <row r="61" spans="1:9" ht="21" customHeight="1">
      <c r="A61" s="60"/>
      <c r="B61" s="26" t="s">
        <v>135</v>
      </c>
      <c r="C61" s="26" t="s">
        <v>353</v>
      </c>
      <c r="D61" s="12">
        <v>60007843073</v>
      </c>
      <c r="E61" s="30" t="s">
        <v>136</v>
      </c>
      <c r="F61" s="46">
        <f>525/2</f>
        <v>262.5</v>
      </c>
      <c r="G61" s="46">
        <v>0</v>
      </c>
      <c r="H61" s="74">
        <v>0</v>
      </c>
      <c r="I61" s="51">
        <f t="shared" si="1"/>
        <v>262.5</v>
      </c>
    </row>
    <row r="62" spans="1:9" ht="21" customHeight="1">
      <c r="A62" s="60"/>
      <c r="B62" s="26" t="s">
        <v>137</v>
      </c>
      <c r="C62" s="93"/>
      <c r="D62" s="12">
        <v>60007843356</v>
      </c>
      <c r="E62" s="30" t="s">
        <v>138</v>
      </c>
      <c r="F62" s="46">
        <f>143/2</f>
        <v>71.5</v>
      </c>
      <c r="G62" s="46">
        <v>0</v>
      </c>
      <c r="H62" s="74">
        <v>0</v>
      </c>
      <c r="I62" s="51">
        <f t="shared" si="1"/>
        <v>71.5</v>
      </c>
    </row>
    <row r="63" spans="1:9" ht="21" customHeight="1">
      <c r="A63" s="60"/>
      <c r="B63" s="26" t="s">
        <v>139</v>
      </c>
      <c r="C63" s="93"/>
      <c r="D63" s="12">
        <v>60007847274</v>
      </c>
      <c r="E63" s="30" t="s">
        <v>140</v>
      </c>
      <c r="F63" s="46">
        <f>257/2</f>
        <v>128.5</v>
      </c>
      <c r="G63" s="46">
        <v>0</v>
      </c>
      <c r="H63" s="74">
        <v>0</v>
      </c>
      <c r="I63" s="51">
        <f t="shared" si="1"/>
        <v>128.5</v>
      </c>
    </row>
    <row r="64" spans="1:9" ht="21" customHeight="1">
      <c r="A64" s="60"/>
      <c r="B64" s="26" t="s">
        <v>141</v>
      </c>
      <c r="C64" s="93"/>
      <c r="D64" s="12">
        <v>60007847482</v>
      </c>
      <c r="E64" s="30" t="s">
        <v>142</v>
      </c>
      <c r="F64" s="46">
        <v>509</v>
      </c>
      <c r="G64" s="46">
        <v>0</v>
      </c>
      <c r="H64" s="74">
        <v>0</v>
      </c>
      <c r="I64" s="51">
        <f t="shared" si="1"/>
        <v>509</v>
      </c>
    </row>
    <row r="65" spans="1:9" ht="21" customHeight="1">
      <c r="A65" s="60"/>
      <c r="B65" s="26" t="s">
        <v>143</v>
      </c>
      <c r="C65" s="26" t="s">
        <v>323</v>
      </c>
      <c r="D65" s="12">
        <v>60007858040</v>
      </c>
      <c r="E65" s="78" t="s">
        <v>144</v>
      </c>
      <c r="F65" s="46">
        <v>120</v>
      </c>
      <c r="G65" s="46">
        <v>0</v>
      </c>
      <c r="H65" s="74">
        <v>0</v>
      </c>
      <c r="I65" s="51">
        <f t="shared" si="1"/>
        <v>120</v>
      </c>
    </row>
    <row r="66" spans="1:9" ht="21" customHeight="1">
      <c r="A66" s="60"/>
      <c r="B66" s="43" t="s">
        <v>145</v>
      </c>
      <c r="C66" s="43" t="s">
        <v>358</v>
      </c>
      <c r="D66" s="44">
        <v>60007889355</v>
      </c>
      <c r="E66" s="37" t="s">
        <v>146</v>
      </c>
      <c r="F66" s="46">
        <f>302/2</f>
        <v>151</v>
      </c>
      <c r="G66" s="46">
        <v>0</v>
      </c>
      <c r="H66" s="74">
        <v>0</v>
      </c>
      <c r="I66" s="51">
        <f t="shared" si="1"/>
        <v>151</v>
      </c>
    </row>
    <row r="67" spans="1:9" ht="21" customHeight="1">
      <c r="A67" s="60"/>
      <c r="B67" s="41" t="s">
        <v>147</v>
      </c>
      <c r="C67" s="41" t="s">
        <v>311</v>
      </c>
      <c r="D67" s="40">
        <v>60007899611</v>
      </c>
      <c r="E67" s="42" t="s">
        <v>148</v>
      </c>
      <c r="F67" s="47">
        <v>733</v>
      </c>
      <c r="G67" s="47">
        <v>0</v>
      </c>
      <c r="H67" s="75">
        <v>0</v>
      </c>
      <c r="I67" s="51">
        <f t="shared" si="1"/>
        <v>733</v>
      </c>
    </row>
    <row r="68" spans="1:9" ht="21" customHeight="1">
      <c r="A68" s="60"/>
      <c r="B68" s="26" t="s">
        <v>149</v>
      </c>
      <c r="C68" s="93"/>
      <c r="D68" s="12">
        <v>60008073286</v>
      </c>
      <c r="E68" s="30" t="s">
        <v>150</v>
      </c>
      <c r="F68" s="46">
        <f>87/2</f>
        <v>43.5</v>
      </c>
      <c r="G68" s="46">
        <v>0</v>
      </c>
      <c r="H68" s="74">
        <v>0</v>
      </c>
      <c r="I68" s="51">
        <f t="shared" si="1"/>
        <v>43.5</v>
      </c>
    </row>
    <row r="69" spans="1:9" s="29" customFormat="1" ht="21" customHeight="1">
      <c r="A69" s="60"/>
      <c r="B69" s="26" t="s">
        <v>151</v>
      </c>
      <c r="C69" s="26"/>
      <c r="D69" s="12">
        <v>60008101006</v>
      </c>
      <c r="E69" s="30" t="s">
        <v>152</v>
      </c>
      <c r="F69" s="46">
        <v>2</v>
      </c>
      <c r="G69" s="46">
        <v>0</v>
      </c>
      <c r="H69" s="74">
        <v>0</v>
      </c>
      <c r="I69" s="51">
        <f t="shared" si="1"/>
        <v>2</v>
      </c>
    </row>
    <row r="70" spans="1:9" s="29" customFormat="1" ht="21" customHeight="1">
      <c r="A70" s="60"/>
      <c r="B70" s="26" t="s">
        <v>153</v>
      </c>
      <c r="C70" s="26" t="s">
        <v>359</v>
      </c>
      <c r="D70" s="12">
        <v>60008115357</v>
      </c>
      <c r="E70" s="30" t="s">
        <v>154</v>
      </c>
      <c r="F70" s="46">
        <v>406</v>
      </c>
      <c r="G70" s="46">
        <v>0</v>
      </c>
      <c r="H70" s="74">
        <v>0</v>
      </c>
      <c r="I70" s="51">
        <f t="shared" si="1"/>
        <v>406</v>
      </c>
    </row>
    <row r="71" spans="1:9" s="20" customFormat="1" ht="21" customHeight="1">
      <c r="A71" s="60"/>
      <c r="B71" s="26" t="s">
        <v>155</v>
      </c>
      <c r="C71" s="26" t="s">
        <v>312</v>
      </c>
      <c r="D71" s="12">
        <v>60008450632</v>
      </c>
      <c r="E71" s="30" t="s">
        <v>156</v>
      </c>
      <c r="F71" s="46">
        <v>69</v>
      </c>
      <c r="G71" s="46">
        <v>0</v>
      </c>
      <c r="H71" s="74">
        <v>0</v>
      </c>
      <c r="I71" s="51">
        <f t="shared" si="1"/>
        <v>69</v>
      </c>
    </row>
    <row r="72" spans="1:9" ht="21" customHeight="1">
      <c r="A72" s="60"/>
      <c r="B72" s="26" t="s">
        <v>157</v>
      </c>
      <c r="C72" s="26" t="s">
        <v>360</v>
      </c>
      <c r="D72" s="12">
        <v>60008427213</v>
      </c>
      <c r="E72" s="30" t="s">
        <v>158</v>
      </c>
      <c r="F72" s="46">
        <f>130/2</f>
        <v>65</v>
      </c>
      <c r="G72" s="46">
        <v>0</v>
      </c>
      <c r="H72" s="74">
        <v>0</v>
      </c>
      <c r="I72" s="51">
        <f t="shared" si="1"/>
        <v>65</v>
      </c>
    </row>
    <row r="73" spans="1:9" ht="21" customHeight="1">
      <c r="A73" s="60"/>
      <c r="B73" s="26" t="s">
        <v>159</v>
      </c>
      <c r="C73" s="26" t="s">
        <v>361</v>
      </c>
      <c r="D73" s="12">
        <v>60008475541</v>
      </c>
      <c r="E73" s="30" t="s">
        <v>160</v>
      </c>
      <c r="F73" s="46">
        <f>927/2</f>
        <v>463.5</v>
      </c>
      <c r="G73" s="46">
        <v>0</v>
      </c>
      <c r="H73" s="74">
        <v>0</v>
      </c>
      <c r="I73" s="51">
        <f t="shared" si="1"/>
        <v>463.5</v>
      </c>
    </row>
    <row r="74" spans="1:9" ht="21" customHeight="1">
      <c r="A74" s="60"/>
      <c r="B74" s="26" t="s">
        <v>161</v>
      </c>
      <c r="C74" s="93"/>
      <c r="D74" s="12">
        <v>60008368817</v>
      </c>
      <c r="E74" s="30" t="s">
        <v>162</v>
      </c>
      <c r="F74" s="46">
        <v>95</v>
      </c>
      <c r="G74" s="46">
        <v>0</v>
      </c>
      <c r="H74" s="74">
        <v>0</v>
      </c>
      <c r="I74" s="51">
        <f t="shared" si="1"/>
        <v>95</v>
      </c>
    </row>
    <row r="75" spans="1:9" ht="21" customHeight="1">
      <c r="A75" s="60"/>
      <c r="B75" s="26" t="s">
        <v>163</v>
      </c>
      <c r="C75" s="26" t="s">
        <v>372</v>
      </c>
      <c r="D75" s="12">
        <v>60091069643</v>
      </c>
      <c r="E75" s="30" t="s">
        <v>164</v>
      </c>
      <c r="F75" s="46">
        <v>0</v>
      </c>
      <c r="G75" s="46">
        <v>0</v>
      </c>
      <c r="H75" s="74">
        <v>0</v>
      </c>
      <c r="I75" s="51">
        <f t="shared" si="1"/>
        <v>0</v>
      </c>
    </row>
    <row r="76" spans="1:9" ht="21" customHeight="1">
      <c r="A76" s="60"/>
      <c r="B76" s="26" t="s">
        <v>165</v>
      </c>
      <c r="C76" s="26" t="s">
        <v>363</v>
      </c>
      <c r="D76" s="12">
        <v>60089709450</v>
      </c>
      <c r="E76" s="30" t="s">
        <v>166</v>
      </c>
      <c r="F76" s="46">
        <v>121</v>
      </c>
      <c r="G76" s="46">
        <v>0</v>
      </c>
      <c r="H76" s="74">
        <v>0</v>
      </c>
      <c r="I76" s="51">
        <f t="shared" si="1"/>
        <v>121</v>
      </c>
    </row>
    <row r="77" spans="1:9" ht="21" customHeight="1">
      <c r="A77" s="60"/>
      <c r="B77" s="26" t="s">
        <v>167</v>
      </c>
      <c r="C77" s="26" t="s">
        <v>362</v>
      </c>
      <c r="D77" s="12">
        <v>60089553056</v>
      </c>
      <c r="E77" s="30" t="s">
        <v>168</v>
      </c>
      <c r="F77" s="46">
        <f>2753/2</f>
        <v>1376.5</v>
      </c>
      <c r="G77" s="46">
        <v>0</v>
      </c>
      <c r="H77" s="74">
        <v>0</v>
      </c>
      <c r="I77" s="51">
        <f t="shared" si="1"/>
        <v>1376.5</v>
      </c>
    </row>
    <row r="78" spans="1:9" ht="21" customHeight="1">
      <c r="A78" s="60"/>
      <c r="B78" s="26" t="s">
        <v>169</v>
      </c>
      <c r="C78" s="26" t="s">
        <v>364</v>
      </c>
      <c r="D78" s="17">
        <v>60090692774</v>
      </c>
      <c r="E78" s="31" t="s">
        <v>170</v>
      </c>
      <c r="F78" s="46">
        <v>8</v>
      </c>
      <c r="G78" s="46">
        <v>0</v>
      </c>
      <c r="H78" s="74">
        <v>0</v>
      </c>
      <c r="I78" s="51">
        <f t="shared" si="1"/>
        <v>8</v>
      </c>
    </row>
    <row r="79" spans="1:9" ht="21" customHeight="1">
      <c r="A79" s="60"/>
      <c r="B79" s="26" t="s">
        <v>171</v>
      </c>
      <c r="C79" s="93"/>
      <c r="D79" s="12">
        <v>60006579681</v>
      </c>
      <c r="E79" s="30" t="s">
        <v>172</v>
      </c>
      <c r="F79" s="46">
        <v>46</v>
      </c>
      <c r="G79" s="46">
        <v>0</v>
      </c>
      <c r="H79" s="74">
        <v>0</v>
      </c>
      <c r="I79" s="51">
        <f t="shared" si="1"/>
        <v>46</v>
      </c>
    </row>
    <row r="80" spans="1:9" ht="21" customHeight="1">
      <c r="A80" s="60"/>
      <c r="B80" s="26" t="s">
        <v>173</v>
      </c>
      <c r="C80" s="26" t="s">
        <v>333</v>
      </c>
      <c r="D80" s="12">
        <v>60006586696</v>
      </c>
      <c r="E80" s="30" t="s">
        <v>174</v>
      </c>
      <c r="F80" s="46">
        <f>1365/2</f>
        <v>682.5</v>
      </c>
      <c r="G80" s="46">
        <v>0</v>
      </c>
      <c r="H80" s="74">
        <v>0</v>
      </c>
      <c r="I80" s="51">
        <f t="shared" si="1"/>
        <v>682.5</v>
      </c>
    </row>
    <row r="81" spans="1:9" s="29" customFormat="1" ht="21" customHeight="1">
      <c r="A81" s="60"/>
      <c r="B81" s="26" t="s">
        <v>175</v>
      </c>
      <c r="C81" s="93"/>
      <c r="D81" s="17">
        <v>60006586704</v>
      </c>
      <c r="E81" s="31" t="s">
        <v>176</v>
      </c>
      <c r="F81" s="46">
        <f>146/2</f>
        <v>73</v>
      </c>
      <c r="G81" s="46">
        <v>0</v>
      </c>
      <c r="H81" s="74">
        <v>0</v>
      </c>
      <c r="I81" s="51">
        <f t="shared" si="1"/>
        <v>73</v>
      </c>
    </row>
    <row r="82" spans="1:9" ht="21" customHeight="1">
      <c r="A82" s="60"/>
      <c r="B82" s="26" t="s">
        <v>177</v>
      </c>
      <c r="C82" s="26" t="s">
        <v>370</v>
      </c>
      <c r="D82" s="12">
        <v>60006587652</v>
      </c>
      <c r="E82" s="33" t="s">
        <v>178</v>
      </c>
      <c r="F82" s="47">
        <f>901/2</f>
        <v>450.5</v>
      </c>
      <c r="G82" s="47">
        <v>0</v>
      </c>
      <c r="H82" s="75">
        <v>0</v>
      </c>
      <c r="I82" s="51">
        <f t="shared" si="1"/>
        <v>450.5</v>
      </c>
    </row>
    <row r="83" spans="1:9" s="20" customFormat="1" ht="21" customHeight="1">
      <c r="A83" s="60"/>
      <c r="B83" s="26" t="s">
        <v>179</v>
      </c>
      <c r="C83" s="26" t="s">
        <v>334</v>
      </c>
      <c r="D83" s="12">
        <v>60006587671</v>
      </c>
      <c r="E83" s="30" t="s">
        <v>180</v>
      </c>
      <c r="F83" s="49">
        <f>827/2</f>
        <v>413.5</v>
      </c>
      <c r="G83" s="49">
        <v>0</v>
      </c>
      <c r="H83" s="76">
        <v>0</v>
      </c>
      <c r="I83" s="51">
        <f t="shared" si="1"/>
        <v>413.5</v>
      </c>
    </row>
    <row r="84" spans="1:9" ht="21" customHeight="1">
      <c r="A84" s="60"/>
      <c r="B84" s="26" t="s">
        <v>181</v>
      </c>
      <c r="C84" s="26" t="s">
        <v>335</v>
      </c>
      <c r="D84" s="12">
        <v>60006593566</v>
      </c>
      <c r="E84" s="30" t="s">
        <v>182</v>
      </c>
      <c r="F84" s="46">
        <f>683/2</f>
        <v>341.5</v>
      </c>
      <c r="G84" s="46">
        <v>0</v>
      </c>
      <c r="H84" s="74">
        <v>0</v>
      </c>
      <c r="I84" s="51">
        <f t="shared" si="1"/>
        <v>341.5</v>
      </c>
    </row>
    <row r="85" spans="1:9" ht="21" customHeight="1">
      <c r="A85" s="60"/>
      <c r="B85" s="26" t="s">
        <v>183</v>
      </c>
      <c r="C85" s="26" t="s">
        <v>336</v>
      </c>
      <c r="D85" s="12">
        <v>60006601563</v>
      </c>
      <c r="E85" s="30" t="s">
        <v>184</v>
      </c>
      <c r="F85" s="46">
        <v>686.666666666666</v>
      </c>
      <c r="G85" s="46">
        <v>0</v>
      </c>
      <c r="H85" s="74">
        <v>0</v>
      </c>
      <c r="I85" s="51">
        <f t="shared" si="1"/>
        <v>686.666666666666</v>
      </c>
    </row>
    <row r="86" spans="1:9" ht="21" customHeight="1">
      <c r="A86" s="60"/>
      <c r="B86" s="26" t="s">
        <v>185</v>
      </c>
      <c r="C86" s="26" t="s">
        <v>310</v>
      </c>
      <c r="D86" s="12">
        <v>60006630551</v>
      </c>
      <c r="E86" s="30" t="s">
        <v>186</v>
      </c>
      <c r="F86" s="46">
        <f>1167/2</f>
        <v>583.5</v>
      </c>
      <c r="G86" s="46">
        <v>0</v>
      </c>
      <c r="H86" s="74">
        <v>0</v>
      </c>
      <c r="I86" s="51">
        <f t="shared" si="1"/>
        <v>583.5</v>
      </c>
    </row>
    <row r="87" spans="1:9" s="20" customFormat="1" ht="21" customHeight="1">
      <c r="A87" s="60"/>
      <c r="B87" s="26" t="s">
        <v>187</v>
      </c>
      <c r="C87" s="26" t="s">
        <v>287</v>
      </c>
      <c r="D87" s="12">
        <v>60006631759</v>
      </c>
      <c r="E87" s="30" t="s">
        <v>188</v>
      </c>
      <c r="F87" s="46">
        <f>691/2</f>
        <v>345.5</v>
      </c>
      <c r="G87" s="46">
        <v>0</v>
      </c>
      <c r="H87" s="74">
        <v>0</v>
      </c>
      <c r="I87" s="51">
        <f t="shared" si="1"/>
        <v>345.5</v>
      </c>
    </row>
    <row r="88" spans="1:9" s="29" customFormat="1" ht="21" customHeight="1">
      <c r="A88" s="60"/>
      <c r="B88" s="26" t="s">
        <v>189</v>
      </c>
      <c r="C88" s="26" t="s">
        <v>339</v>
      </c>
      <c r="D88" s="12">
        <v>60006631974</v>
      </c>
      <c r="E88" s="30" t="s">
        <v>190</v>
      </c>
      <c r="F88" s="46">
        <v>1045</v>
      </c>
      <c r="G88" s="46">
        <v>0</v>
      </c>
      <c r="H88" s="74">
        <v>0</v>
      </c>
      <c r="I88" s="51">
        <f t="shared" si="1"/>
        <v>1045</v>
      </c>
    </row>
    <row r="89" spans="1:9" ht="21" customHeight="1">
      <c r="A89" s="60"/>
      <c r="B89" s="26" t="s">
        <v>191</v>
      </c>
      <c r="C89" s="26" t="s">
        <v>356</v>
      </c>
      <c r="D89" s="12">
        <v>60007843337</v>
      </c>
      <c r="E89" s="30" t="s">
        <v>192</v>
      </c>
      <c r="F89" s="46">
        <f>913/2</f>
        <v>456.5</v>
      </c>
      <c r="G89" s="46">
        <v>0</v>
      </c>
      <c r="H89" s="74">
        <v>0</v>
      </c>
      <c r="I89" s="51">
        <f t="shared" si="1"/>
        <v>456.5</v>
      </c>
    </row>
    <row r="90" spans="1:9" ht="21" customHeight="1">
      <c r="A90" s="60"/>
      <c r="B90" s="26" t="s">
        <v>193</v>
      </c>
      <c r="C90" s="26" t="s">
        <v>305</v>
      </c>
      <c r="D90" s="12">
        <v>60006631992</v>
      </c>
      <c r="E90" s="30" t="s">
        <v>194</v>
      </c>
      <c r="F90" s="46">
        <v>1962</v>
      </c>
      <c r="G90" s="46">
        <v>0</v>
      </c>
      <c r="H90" s="74">
        <v>0</v>
      </c>
      <c r="I90" s="51">
        <f t="shared" si="1"/>
        <v>1962</v>
      </c>
    </row>
    <row r="91" spans="1:9" ht="21" customHeight="1">
      <c r="A91" s="60"/>
      <c r="B91" s="26" t="s">
        <v>195</v>
      </c>
      <c r="C91" s="26" t="s">
        <v>341</v>
      </c>
      <c r="D91" s="12">
        <v>60006632013</v>
      </c>
      <c r="E91" s="30" t="s">
        <v>196</v>
      </c>
      <c r="F91" s="46">
        <v>36</v>
      </c>
      <c r="G91" s="46">
        <v>0</v>
      </c>
      <c r="H91" s="74">
        <v>0</v>
      </c>
      <c r="I91" s="51">
        <f t="shared" si="1"/>
        <v>36</v>
      </c>
    </row>
    <row r="92" spans="1:9" ht="21" customHeight="1">
      <c r="A92" s="60"/>
      <c r="B92" s="26" t="s">
        <v>197</v>
      </c>
      <c r="C92" s="26" t="s">
        <v>288</v>
      </c>
      <c r="D92" s="12">
        <v>60006632028</v>
      </c>
      <c r="E92" s="30" t="s">
        <v>198</v>
      </c>
      <c r="F92" s="46">
        <v>2501</v>
      </c>
      <c r="G92" s="46">
        <v>0</v>
      </c>
      <c r="H92" s="74">
        <v>0</v>
      </c>
      <c r="I92" s="51">
        <f t="shared" si="1"/>
        <v>2501</v>
      </c>
    </row>
    <row r="93" spans="1:9" ht="21" customHeight="1">
      <c r="A93" s="60"/>
      <c r="B93" s="26" t="s">
        <v>199</v>
      </c>
      <c r="C93" s="26" t="s">
        <v>342</v>
      </c>
      <c r="D93" s="12">
        <v>60006632034</v>
      </c>
      <c r="E93" s="30" t="s">
        <v>200</v>
      </c>
      <c r="F93" s="46">
        <v>142</v>
      </c>
      <c r="G93" s="46">
        <v>0</v>
      </c>
      <c r="H93" s="74">
        <v>0</v>
      </c>
      <c r="I93" s="51">
        <f t="shared" si="1"/>
        <v>142</v>
      </c>
    </row>
    <row r="94" spans="1:9" ht="21" customHeight="1">
      <c r="A94" s="60"/>
      <c r="B94" s="26" t="s">
        <v>201</v>
      </c>
      <c r="C94" s="26" t="s">
        <v>343</v>
      </c>
      <c r="D94" s="12">
        <v>60006637176</v>
      </c>
      <c r="E94" s="30" t="s">
        <v>202</v>
      </c>
      <c r="F94" s="46">
        <v>51</v>
      </c>
      <c r="G94" s="46">
        <v>0</v>
      </c>
      <c r="H94" s="74">
        <v>0</v>
      </c>
      <c r="I94" s="51">
        <f t="shared" si="1"/>
        <v>51</v>
      </c>
    </row>
    <row r="95" spans="1:9" ht="21" customHeight="1">
      <c r="A95" s="60"/>
      <c r="B95" s="26" t="s">
        <v>203</v>
      </c>
      <c r="C95" s="93"/>
      <c r="D95" s="12">
        <v>60006637235</v>
      </c>
      <c r="E95" s="30" t="s">
        <v>204</v>
      </c>
      <c r="F95" s="46">
        <f>142/2</f>
        <v>71</v>
      </c>
      <c r="G95" s="46">
        <v>0</v>
      </c>
      <c r="H95" s="74">
        <v>0</v>
      </c>
      <c r="I95" s="51">
        <f t="shared" si="1"/>
        <v>71</v>
      </c>
    </row>
    <row r="96" spans="1:9" ht="21" customHeight="1">
      <c r="A96" s="60"/>
      <c r="B96" s="26" t="s">
        <v>205</v>
      </c>
      <c r="C96" s="26" t="s">
        <v>306</v>
      </c>
      <c r="D96" s="12">
        <v>60006637714</v>
      </c>
      <c r="E96" s="30" t="s">
        <v>206</v>
      </c>
      <c r="F96" s="46">
        <f>226/2</f>
        <v>113</v>
      </c>
      <c r="G96" s="46">
        <v>0</v>
      </c>
      <c r="H96" s="74">
        <v>0</v>
      </c>
      <c r="I96" s="51">
        <f t="shared" si="1"/>
        <v>113</v>
      </c>
    </row>
    <row r="97" spans="1:9" ht="21" customHeight="1">
      <c r="A97" s="60"/>
      <c r="B97" s="26" t="s">
        <v>207</v>
      </c>
      <c r="C97" s="93"/>
      <c r="D97" s="12">
        <v>60006642108</v>
      </c>
      <c r="E97" s="30" t="s">
        <v>208</v>
      </c>
      <c r="F97" s="46">
        <f>142/2</f>
        <v>71</v>
      </c>
      <c r="G97" s="46">
        <v>0</v>
      </c>
      <c r="H97" s="74">
        <v>0</v>
      </c>
      <c r="I97" s="51">
        <f t="shared" si="1"/>
        <v>71</v>
      </c>
    </row>
    <row r="98" spans="1:9" ht="21" customHeight="1">
      <c r="A98" s="60"/>
      <c r="B98" s="26" t="s">
        <v>209</v>
      </c>
      <c r="C98" s="93"/>
      <c r="D98" s="12">
        <v>60006642114</v>
      </c>
      <c r="E98" s="30" t="s">
        <v>210</v>
      </c>
      <c r="F98" s="46">
        <f>142/2</f>
        <v>71</v>
      </c>
      <c r="G98" s="46">
        <v>0</v>
      </c>
      <c r="H98" s="74">
        <v>0</v>
      </c>
      <c r="I98" s="51">
        <f t="shared" si="1"/>
        <v>71</v>
      </c>
    </row>
    <row r="99" spans="1:9" ht="21" customHeight="1">
      <c r="A99" s="60"/>
      <c r="B99" s="26" t="s">
        <v>211</v>
      </c>
      <c r="C99" s="26" t="s">
        <v>290</v>
      </c>
      <c r="D99" s="12">
        <v>60006644426</v>
      </c>
      <c r="E99" s="30" t="s">
        <v>212</v>
      </c>
      <c r="F99" s="46">
        <v>370</v>
      </c>
      <c r="G99" s="46">
        <v>0</v>
      </c>
      <c r="H99" s="74">
        <v>0</v>
      </c>
      <c r="I99" s="51">
        <f t="shared" si="1"/>
        <v>370</v>
      </c>
    </row>
    <row r="100" spans="1:9" ht="21" customHeight="1">
      <c r="A100" s="60"/>
      <c r="B100" s="26" t="s">
        <v>213</v>
      </c>
      <c r="C100" s="93"/>
      <c r="D100" s="12">
        <v>60006644431</v>
      </c>
      <c r="E100" s="30" t="s">
        <v>214</v>
      </c>
      <c r="F100" s="46">
        <v>558</v>
      </c>
      <c r="G100" s="46">
        <v>0</v>
      </c>
      <c r="H100" s="74">
        <v>0</v>
      </c>
      <c r="I100" s="51">
        <f t="shared" si="1"/>
        <v>558</v>
      </c>
    </row>
    <row r="101" spans="1:9" ht="21" customHeight="1">
      <c r="A101" s="60"/>
      <c r="B101" s="26" t="s">
        <v>215</v>
      </c>
      <c r="C101" s="26" t="s">
        <v>344</v>
      </c>
      <c r="D101" s="12">
        <v>60006644654</v>
      </c>
      <c r="E101" s="30" t="s">
        <v>216</v>
      </c>
      <c r="F101" s="47">
        <f>148/2</f>
        <v>74</v>
      </c>
      <c r="G101" s="47">
        <v>0</v>
      </c>
      <c r="H101" s="75">
        <v>0</v>
      </c>
      <c r="I101" s="92">
        <f t="shared" si="1"/>
        <v>74</v>
      </c>
    </row>
    <row r="102" spans="1:9" ht="21" customHeight="1">
      <c r="A102" s="60"/>
      <c r="B102" s="26" t="s">
        <v>217</v>
      </c>
      <c r="C102" s="93"/>
      <c r="D102" s="12">
        <v>60007182237</v>
      </c>
      <c r="E102" s="30" t="s">
        <v>218</v>
      </c>
      <c r="F102" s="46"/>
      <c r="G102" s="46"/>
      <c r="H102" s="74"/>
      <c r="I102" s="51">
        <f t="shared" si="1"/>
        <v>0</v>
      </c>
    </row>
    <row r="103" spans="1:9" ht="21" customHeight="1">
      <c r="A103" s="60"/>
      <c r="B103" s="26" t="s">
        <v>219</v>
      </c>
      <c r="C103" s="26" t="s">
        <v>354</v>
      </c>
      <c r="D103" s="12">
        <v>60007843211</v>
      </c>
      <c r="E103" s="30" t="s">
        <v>220</v>
      </c>
      <c r="F103" s="46">
        <v>150</v>
      </c>
      <c r="G103" s="46">
        <v>0</v>
      </c>
      <c r="H103" s="74">
        <v>0</v>
      </c>
      <c r="I103" s="51">
        <f t="shared" si="1"/>
        <v>150</v>
      </c>
    </row>
    <row r="104" spans="1:9" ht="21" customHeight="1">
      <c r="A104" s="60"/>
      <c r="B104" s="26" t="s">
        <v>221</v>
      </c>
      <c r="C104" s="26" t="s">
        <v>355</v>
      </c>
      <c r="D104" s="12">
        <v>60007843225</v>
      </c>
      <c r="E104" s="30" t="s">
        <v>222</v>
      </c>
      <c r="F104" s="46">
        <v>0</v>
      </c>
      <c r="G104" s="46">
        <v>0</v>
      </c>
      <c r="H104" s="74">
        <v>0</v>
      </c>
      <c r="I104" s="51">
        <f t="shared" si="1"/>
        <v>0</v>
      </c>
    </row>
    <row r="105" spans="1:9" ht="21" customHeight="1">
      <c r="A105" s="60"/>
      <c r="B105" s="26" t="s">
        <v>223</v>
      </c>
      <c r="C105" s="26" t="s">
        <v>347</v>
      </c>
      <c r="D105" s="12">
        <v>60007211343</v>
      </c>
      <c r="E105" s="30" t="s">
        <v>224</v>
      </c>
      <c r="F105" s="46">
        <v>0</v>
      </c>
      <c r="G105" s="46">
        <v>0</v>
      </c>
      <c r="H105" s="74">
        <v>0</v>
      </c>
      <c r="I105" s="51">
        <f t="shared" si="1"/>
        <v>0</v>
      </c>
    </row>
    <row r="106" spans="1:9" ht="21" customHeight="1">
      <c r="A106" s="60"/>
      <c r="B106" s="26" t="s">
        <v>225</v>
      </c>
      <c r="C106" s="26" t="s">
        <v>346</v>
      </c>
      <c r="D106" s="12">
        <v>60007211339</v>
      </c>
      <c r="E106" s="30" t="s">
        <v>226</v>
      </c>
      <c r="F106" s="46">
        <f>299/2</f>
        <v>149.5</v>
      </c>
      <c r="G106" s="46">
        <v>0</v>
      </c>
      <c r="H106" s="74">
        <v>0</v>
      </c>
      <c r="I106" s="51">
        <f t="shared" si="1"/>
        <v>149.5</v>
      </c>
    </row>
    <row r="107" spans="1:9" ht="21" customHeight="1">
      <c r="A107" s="60"/>
      <c r="B107" s="26" t="s">
        <v>227</v>
      </c>
      <c r="C107" s="26" t="s">
        <v>291</v>
      </c>
      <c r="D107" s="12">
        <v>60007239731</v>
      </c>
      <c r="E107" s="30" t="s">
        <v>228</v>
      </c>
      <c r="F107" s="46">
        <f>1873/2</f>
        <v>936.5</v>
      </c>
      <c r="G107" s="46">
        <v>0</v>
      </c>
      <c r="H107" s="74">
        <v>0</v>
      </c>
      <c r="I107" s="51">
        <f t="shared" si="1"/>
        <v>936.5</v>
      </c>
    </row>
    <row r="108" spans="1:9" ht="21" customHeight="1">
      <c r="A108" s="60"/>
      <c r="B108" s="26" t="s">
        <v>229</v>
      </c>
      <c r="C108" s="26" t="s">
        <v>348</v>
      </c>
      <c r="D108" s="12">
        <v>60007483419</v>
      </c>
      <c r="E108" s="30" t="s">
        <v>230</v>
      </c>
      <c r="F108" s="46">
        <f>894/2</f>
        <v>447</v>
      </c>
      <c r="G108" s="46">
        <v>0</v>
      </c>
      <c r="H108" s="74">
        <v>0</v>
      </c>
      <c r="I108" s="51">
        <f t="shared" si="1"/>
        <v>447</v>
      </c>
    </row>
    <row r="109" spans="1:9" ht="21" customHeight="1">
      <c r="A109" s="60"/>
      <c r="B109" s="26" t="s">
        <v>231</v>
      </c>
      <c r="C109" s="26" t="s">
        <v>301</v>
      </c>
      <c r="D109" s="12">
        <v>60006579638</v>
      </c>
      <c r="E109" s="30" t="s">
        <v>232</v>
      </c>
      <c r="F109" s="46">
        <v>0</v>
      </c>
      <c r="G109" s="46">
        <v>0</v>
      </c>
      <c r="H109" s="74">
        <v>0</v>
      </c>
      <c r="I109" s="51">
        <f t="shared" si="1"/>
        <v>0</v>
      </c>
    </row>
    <row r="110" spans="1:9" ht="21" customHeight="1">
      <c r="A110" s="60"/>
      <c r="B110" s="26" t="s">
        <v>233</v>
      </c>
      <c r="C110" s="26" t="s">
        <v>349</v>
      </c>
      <c r="D110" s="12">
        <v>60006579657</v>
      </c>
      <c r="E110" s="30" t="s">
        <v>234</v>
      </c>
      <c r="F110" s="46">
        <v>681</v>
      </c>
      <c r="G110" s="46">
        <v>0</v>
      </c>
      <c r="H110" s="74">
        <v>0</v>
      </c>
      <c r="I110" s="51">
        <f t="shared" si="1"/>
        <v>681</v>
      </c>
    </row>
    <row r="111" spans="1:9" ht="21" customHeight="1">
      <c r="A111" s="60"/>
      <c r="B111" s="26" t="s">
        <v>235</v>
      </c>
      <c r="C111" s="93"/>
      <c r="D111" s="12">
        <v>60006579676</v>
      </c>
      <c r="E111" s="30" t="s">
        <v>236</v>
      </c>
      <c r="F111" s="46">
        <v>9</v>
      </c>
      <c r="G111" s="46">
        <v>0</v>
      </c>
      <c r="H111" s="74">
        <v>0</v>
      </c>
      <c r="I111" s="51">
        <f t="shared" si="1"/>
        <v>9</v>
      </c>
    </row>
    <row r="112" spans="1:9" ht="21" customHeight="1">
      <c r="A112" s="60"/>
      <c r="B112" s="26" t="s">
        <v>237</v>
      </c>
      <c r="C112" s="26" t="s">
        <v>351</v>
      </c>
      <c r="D112" s="12">
        <v>60007631681</v>
      </c>
      <c r="E112" s="30" t="s">
        <v>238</v>
      </c>
      <c r="F112" s="46">
        <v>113</v>
      </c>
      <c r="G112" s="46">
        <v>0</v>
      </c>
      <c r="H112" s="74">
        <v>0</v>
      </c>
      <c r="I112" s="51">
        <f t="shared" si="1"/>
        <v>113</v>
      </c>
    </row>
    <row r="113" spans="1:9" ht="21" customHeight="1">
      <c r="A113" s="60"/>
      <c r="B113" s="26" t="s">
        <v>239</v>
      </c>
      <c r="C113" s="26" t="s">
        <v>357</v>
      </c>
      <c r="D113" s="12">
        <v>60007848373</v>
      </c>
      <c r="E113" s="30" t="s">
        <v>240</v>
      </c>
      <c r="F113" s="46">
        <f>2023/2</f>
        <v>1011.5</v>
      </c>
      <c r="G113" s="46">
        <v>0</v>
      </c>
      <c r="H113" s="74">
        <v>0</v>
      </c>
      <c r="I113" s="51">
        <f t="shared" si="1"/>
        <v>1011.5</v>
      </c>
    </row>
    <row r="114" spans="1:9" ht="21" customHeight="1">
      <c r="A114" s="60"/>
      <c r="B114" s="26" t="s">
        <v>241</v>
      </c>
      <c r="C114" s="26" t="s">
        <v>338</v>
      </c>
      <c r="D114" s="12">
        <v>60006631880</v>
      </c>
      <c r="E114" s="30" t="s">
        <v>242</v>
      </c>
      <c r="F114" s="46">
        <f>366/2</f>
        <v>183</v>
      </c>
      <c r="G114" s="46">
        <v>0</v>
      </c>
      <c r="H114" s="74">
        <v>0</v>
      </c>
      <c r="I114" s="51">
        <f t="shared" si="1"/>
        <v>183</v>
      </c>
    </row>
    <row r="115" spans="1:9" ht="21" customHeight="1">
      <c r="A115" s="64"/>
      <c r="B115" s="26" t="s">
        <v>243</v>
      </c>
      <c r="C115" s="26" t="s">
        <v>320</v>
      </c>
      <c r="D115" s="12">
        <v>60006631920</v>
      </c>
      <c r="E115" s="30" t="s">
        <v>244</v>
      </c>
      <c r="F115" s="49">
        <f>623+511.5</f>
        <v>1134.5</v>
      </c>
      <c r="G115" s="49">
        <v>0</v>
      </c>
      <c r="H115" s="76">
        <v>0</v>
      </c>
      <c r="I115" s="51">
        <f t="shared" si="1"/>
        <v>1134.5</v>
      </c>
    </row>
    <row r="116" spans="1:9" ht="21" customHeight="1">
      <c r="A116" s="64"/>
      <c r="B116" s="26" t="s">
        <v>245</v>
      </c>
      <c r="C116" s="26" t="s">
        <v>340</v>
      </c>
      <c r="D116" s="12">
        <v>60006631987</v>
      </c>
      <c r="E116" s="30" t="s">
        <v>246</v>
      </c>
      <c r="F116" s="49">
        <f>5063/2</f>
        <v>2531.5</v>
      </c>
      <c r="G116" s="49">
        <v>0</v>
      </c>
      <c r="H116" s="76">
        <v>0</v>
      </c>
      <c r="I116" s="51">
        <f t="shared" si="1"/>
        <v>2531.5</v>
      </c>
    </row>
    <row r="117" spans="1:9" ht="21" customHeight="1">
      <c r="A117" s="64"/>
      <c r="B117" s="26" t="s">
        <v>247</v>
      </c>
      <c r="C117" s="26" t="s">
        <v>373</v>
      </c>
      <c r="D117" s="12">
        <v>60006632009</v>
      </c>
      <c r="E117" s="30" t="s">
        <v>248</v>
      </c>
      <c r="F117" s="49">
        <v>2011</v>
      </c>
      <c r="G117" s="49">
        <v>0</v>
      </c>
      <c r="H117" s="76">
        <v>0</v>
      </c>
      <c r="I117" s="51">
        <f t="shared" si="1"/>
        <v>2011</v>
      </c>
    </row>
    <row r="118" spans="1:9" ht="21" customHeight="1">
      <c r="A118" s="64"/>
      <c r="B118" s="26" t="s">
        <v>249</v>
      </c>
      <c r="C118" s="26" t="s">
        <v>350</v>
      </c>
      <c r="D118" s="12">
        <v>60007611240</v>
      </c>
      <c r="E118" s="30" t="s">
        <v>250</v>
      </c>
      <c r="F118" s="49">
        <f>3470/2</f>
        <v>1735</v>
      </c>
      <c r="G118" s="49">
        <v>0</v>
      </c>
      <c r="H118" s="76">
        <v>0</v>
      </c>
      <c r="I118" s="51">
        <f t="shared" si="1"/>
        <v>1735</v>
      </c>
    </row>
    <row r="119" spans="1:9" ht="21" customHeight="1">
      <c r="A119" s="64"/>
      <c r="B119" s="26" t="s">
        <v>251</v>
      </c>
      <c r="C119" s="26" t="s">
        <v>337</v>
      </c>
      <c r="D119" s="12">
        <v>60006613294</v>
      </c>
      <c r="E119" s="30" t="s">
        <v>252</v>
      </c>
      <c r="F119" s="49">
        <f>635/2</f>
        <v>317.5</v>
      </c>
      <c r="G119" s="49">
        <v>0</v>
      </c>
      <c r="H119" s="76">
        <v>0</v>
      </c>
      <c r="I119" s="51">
        <f t="shared" si="1"/>
        <v>317.5</v>
      </c>
    </row>
    <row r="120" spans="1:9" ht="21" customHeight="1">
      <c r="A120" s="64"/>
      <c r="B120" s="26" t="s">
        <v>253</v>
      </c>
      <c r="C120" s="26" t="s">
        <v>303</v>
      </c>
      <c r="D120" s="12">
        <v>60006631725</v>
      </c>
      <c r="E120" s="30" t="s">
        <v>254</v>
      </c>
      <c r="F120" s="49">
        <f>2338/2</f>
        <v>1169</v>
      </c>
      <c r="G120" s="49">
        <v>0</v>
      </c>
      <c r="H120" s="76">
        <v>0</v>
      </c>
      <c r="I120" s="51">
        <f t="shared" si="1"/>
        <v>1169</v>
      </c>
    </row>
    <row r="121" spans="1:9" ht="21" customHeight="1">
      <c r="A121" s="64"/>
      <c r="B121" s="26" t="s">
        <v>255</v>
      </c>
      <c r="C121" s="26" t="s">
        <v>304</v>
      </c>
      <c r="D121" s="12">
        <v>60006631818</v>
      </c>
      <c r="E121" s="30" t="s">
        <v>256</v>
      </c>
      <c r="F121" s="49">
        <f>61/2+80/2</f>
        <v>70.5</v>
      </c>
      <c r="G121" s="49">
        <v>0</v>
      </c>
      <c r="H121" s="76">
        <v>0</v>
      </c>
      <c r="I121" s="51">
        <f aca="true" t="shared" si="2" ref="I121:I130">F121+G121+H121</f>
        <v>70.5</v>
      </c>
    </row>
    <row r="122" spans="1:9" ht="21" customHeight="1">
      <c r="A122" s="64"/>
      <c r="B122" s="25" t="s">
        <v>257</v>
      </c>
      <c r="C122" s="95"/>
      <c r="D122" s="14">
        <v>60006631824</v>
      </c>
      <c r="E122" s="45" t="s">
        <v>258</v>
      </c>
      <c r="F122" s="49">
        <f>8505*0.25</f>
        <v>2126.25</v>
      </c>
      <c r="G122" s="49">
        <v>0</v>
      </c>
      <c r="H122" s="76">
        <v>0</v>
      </c>
      <c r="I122" s="51">
        <f t="shared" si="2"/>
        <v>2126.25</v>
      </c>
    </row>
    <row r="123" spans="1:9" ht="21" customHeight="1">
      <c r="A123" s="64"/>
      <c r="B123" s="25" t="s">
        <v>259</v>
      </c>
      <c r="C123" s="25" t="s">
        <v>345</v>
      </c>
      <c r="D123" s="14">
        <v>60006872372</v>
      </c>
      <c r="E123" s="45" t="s">
        <v>260</v>
      </c>
      <c r="F123" s="49">
        <v>158</v>
      </c>
      <c r="G123" s="49">
        <v>0</v>
      </c>
      <c r="H123" s="76">
        <v>0</v>
      </c>
      <c r="I123" s="51">
        <f t="shared" si="2"/>
        <v>158</v>
      </c>
    </row>
    <row r="124" spans="1:9" ht="21" customHeight="1">
      <c r="A124" s="64"/>
      <c r="B124" s="25" t="s">
        <v>261</v>
      </c>
      <c r="C124" s="25" t="s">
        <v>321</v>
      </c>
      <c r="D124" s="14">
        <v>60006974384</v>
      </c>
      <c r="E124" s="45" t="s">
        <v>262</v>
      </c>
      <c r="F124" s="49">
        <f>857/2</f>
        <v>428.5</v>
      </c>
      <c r="G124" s="49">
        <v>0</v>
      </c>
      <c r="H124" s="76">
        <v>0</v>
      </c>
      <c r="I124" s="51">
        <f t="shared" si="2"/>
        <v>428.5</v>
      </c>
    </row>
    <row r="125" spans="1:9" ht="21" customHeight="1">
      <c r="A125" s="64"/>
      <c r="B125" s="25" t="s">
        <v>263</v>
      </c>
      <c r="C125" s="25" t="s">
        <v>368</v>
      </c>
      <c r="D125" s="14">
        <v>60006581324</v>
      </c>
      <c r="E125" s="45" t="s">
        <v>264</v>
      </c>
      <c r="F125" s="49">
        <v>3666</v>
      </c>
      <c r="G125" s="49">
        <v>0</v>
      </c>
      <c r="H125" s="76">
        <v>0</v>
      </c>
      <c r="I125" s="51">
        <f t="shared" si="2"/>
        <v>3666</v>
      </c>
    </row>
    <row r="126" spans="1:9" ht="21" customHeight="1">
      <c r="A126" s="64"/>
      <c r="B126" s="25" t="s">
        <v>265</v>
      </c>
      <c r="C126" s="25" t="s">
        <v>352</v>
      </c>
      <c r="D126" s="14">
        <v>60007651627</v>
      </c>
      <c r="E126" s="45" t="s">
        <v>266</v>
      </c>
      <c r="F126" s="49">
        <v>80</v>
      </c>
      <c r="G126" s="49">
        <v>0</v>
      </c>
      <c r="H126" s="76">
        <v>0</v>
      </c>
      <c r="I126" s="51">
        <f t="shared" si="2"/>
        <v>80</v>
      </c>
    </row>
    <row r="127" spans="1:9" ht="21" customHeight="1">
      <c r="A127" s="64"/>
      <c r="B127" s="25" t="s">
        <v>267</v>
      </c>
      <c r="C127" s="95"/>
      <c r="D127" s="14">
        <v>83007351147</v>
      </c>
      <c r="E127" s="45" t="s">
        <v>268</v>
      </c>
      <c r="F127" s="49">
        <v>13</v>
      </c>
      <c r="G127" s="49">
        <v>0</v>
      </c>
      <c r="H127" s="76">
        <v>0</v>
      </c>
      <c r="I127" s="51">
        <f t="shared" si="2"/>
        <v>13</v>
      </c>
    </row>
    <row r="128" spans="1:9" ht="21" customHeight="1">
      <c r="A128" s="64"/>
      <c r="B128" s="25" t="s">
        <v>269</v>
      </c>
      <c r="C128" s="25"/>
      <c r="D128" s="14">
        <v>83007705623</v>
      </c>
      <c r="E128" s="45" t="s">
        <v>270</v>
      </c>
      <c r="F128" s="49">
        <v>19</v>
      </c>
      <c r="G128" s="49">
        <v>0</v>
      </c>
      <c r="H128" s="76">
        <v>0</v>
      </c>
      <c r="I128" s="51">
        <f t="shared" si="2"/>
        <v>19</v>
      </c>
    </row>
    <row r="129" spans="1:9" ht="21" customHeight="1">
      <c r="A129" s="64"/>
      <c r="B129" s="25" t="s">
        <v>271</v>
      </c>
      <c r="C129" s="25"/>
      <c r="D129" s="14">
        <v>83007812488</v>
      </c>
      <c r="E129" s="45" t="s">
        <v>272</v>
      </c>
      <c r="F129" s="49">
        <v>334</v>
      </c>
      <c r="G129" s="49">
        <v>0</v>
      </c>
      <c r="H129" s="76">
        <v>0</v>
      </c>
      <c r="I129" s="51">
        <f t="shared" si="2"/>
        <v>334</v>
      </c>
    </row>
    <row r="130" spans="1:9" ht="21" customHeight="1">
      <c r="A130" s="64"/>
      <c r="B130" s="25" t="s">
        <v>273</v>
      </c>
      <c r="C130" s="25"/>
      <c r="D130" s="14">
        <v>83007946440</v>
      </c>
      <c r="E130" s="45" t="s">
        <v>274</v>
      </c>
      <c r="F130" s="49"/>
      <c r="G130" s="49"/>
      <c r="H130" s="76"/>
      <c r="I130" s="51">
        <f t="shared" si="2"/>
        <v>0</v>
      </c>
    </row>
    <row r="131" spans="1:9" ht="21" customHeight="1" thickBot="1">
      <c r="A131" s="65" t="s">
        <v>0</v>
      </c>
      <c r="B131" s="66"/>
      <c r="C131" s="66"/>
      <c r="D131" s="13"/>
      <c r="E131" s="13"/>
      <c r="F131" s="69"/>
      <c r="G131" s="69"/>
      <c r="H131" s="77"/>
      <c r="I131" s="70">
        <f>SUM(I8:I130)</f>
        <v>151349.4166666667</v>
      </c>
    </row>
    <row r="132" ht="13.5" thickTop="1"/>
  </sheetData>
  <sheetProtection/>
  <mergeCells count="3">
    <mergeCell ref="G3:I3"/>
    <mergeCell ref="F4:I4"/>
    <mergeCell ref="F2:I2"/>
  </mergeCells>
  <printOptions horizontalCentered="1"/>
  <pageMargins left="0.3937007874015748" right="0.3937007874015748" top="0.5905511811023623" bottom="0.5905511811023623" header="0" footer="0"/>
  <pageSetup fitToHeight="0" fitToWidth="1" horizontalDpi="300" verticalDpi="300" orientation="portrait" paperSize="9" scale="31" r:id="rId1"/>
  <headerFooter alignWithMargins="0">
    <oddHeader>&amp;R&amp;D</oddHeader>
    <oddFooter>&amp;CPágina &amp;P de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31"/>
  <sheetViews>
    <sheetView zoomScalePageLayoutView="0" workbookViewId="0" topLeftCell="D123">
      <selection activeCell="A54" sqref="A54:IV56"/>
    </sheetView>
  </sheetViews>
  <sheetFormatPr defaultColWidth="11.421875" defaultRowHeight="12.75"/>
  <cols>
    <col min="1" max="1" width="12.8515625" style="1" customWidth="1"/>
    <col min="2" max="2" width="87.00390625" style="21" customWidth="1"/>
    <col min="3" max="3" width="103.57421875" style="21" customWidth="1"/>
    <col min="4" max="4" width="23.00390625" style="1" customWidth="1"/>
    <col min="5" max="5" width="33.421875" style="1" hidden="1" customWidth="1"/>
    <col min="6" max="7" width="22.57421875" style="2" customWidth="1"/>
    <col min="8" max="8" width="19.140625" style="2" customWidth="1"/>
    <col min="9" max="9" width="18.28125" style="2" bestFit="1" customWidth="1"/>
    <col min="10" max="10" width="11.421875" style="1" customWidth="1"/>
    <col min="11" max="11" width="11.57421875" style="1" bestFit="1" customWidth="1"/>
    <col min="12" max="16384" width="11.421875" style="1" customWidth="1"/>
  </cols>
  <sheetData>
    <row r="1" ht="15.75" customHeight="1"/>
    <row r="2" spans="7:9" ht="42.75" customHeight="1">
      <c r="G2" s="96" t="s">
        <v>9</v>
      </c>
      <c r="H2" s="96"/>
      <c r="I2" s="96"/>
    </row>
    <row r="3" spans="8:9" ht="33.75" customHeight="1">
      <c r="H3" s="97"/>
      <c r="I3" s="97"/>
    </row>
    <row r="4" spans="7:9" ht="21.75" customHeight="1">
      <c r="G4" s="98" t="s">
        <v>279</v>
      </c>
      <c r="H4" s="98"/>
      <c r="I4" s="98"/>
    </row>
    <row r="5" ht="15.75" customHeight="1"/>
    <row r="6" spans="1:8" ht="15.75" customHeight="1" thickBot="1">
      <c r="A6" s="3"/>
      <c r="B6" s="22"/>
      <c r="C6" s="22"/>
      <c r="D6" s="3"/>
      <c r="E6" s="3"/>
      <c r="F6" s="4"/>
      <c r="G6" s="4"/>
      <c r="H6" s="4"/>
    </row>
    <row r="7" spans="1:9" ht="21" customHeight="1" thickTop="1">
      <c r="A7" s="5" t="s">
        <v>1</v>
      </c>
      <c r="B7" s="23" t="s">
        <v>3</v>
      </c>
      <c r="C7" s="23" t="s">
        <v>285</v>
      </c>
      <c r="D7" s="11" t="s">
        <v>2</v>
      </c>
      <c r="E7" s="11" t="s">
        <v>11</v>
      </c>
      <c r="F7" s="6" t="s">
        <v>6</v>
      </c>
      <c r="G7" s="6" t="s">
        <v>7</v>
      </c>
      <c r="H7" s="6" t="s">
        <v>8</v>
      </c>
      <c r="I7" s="7" t="s">
        <v>0</v>
      </c>
    </row>
    <row r="8" spans="1:9" ht="21" customHeight="1">
      <c r="A8" s="27"/>
      <c r="B8" s="72" t="s">
        <v>15</v>
      </c>
      <c r="C8" s="72" t="s">
        <v>316</v>
      </c>
      <c r="D8" s="12">
        <v>83006884161</v>
      </c>
      <c r="E8" s="30" t="s">
        <v>16</v>
      </c>
      <c r="F8" s="8">
        <v>240.29</v>
      </c>
      <c r="G8" s="8">
        <v>6.59</v>
      </c>
      <c r="H8" s="8">
        <v>1.45</v>
      </c>
      <c r="I8" s="9">
        <f aca="true" t="shared" si="0" ref="I8:I58">SUM(F8:H8)</f>
        <v>248.32999999999998</v>
      </c>
    </row>
    <row r="9" spans="1:9" ht="21" customHeight="1">
      <c r="A9" s="27"/>
      <c r="B9" s="26" t="s">
        <v>17</v>
      </c>
      <c r="C9" s="26" t="s">
        <v>314</v>
      </c>
      <c r="D9" s="12">
        <v>83001699293</v>
      </c>
      <c r="E9" s="30" t="s">
        <v>19</v>
      </c>
      <c r="F9" s="8">
        <v>308.27</v>
      </c>
      <c r="G9" s="8">
        <v>9.07</v>
      </c>
      <c r="H9" s="8">
        <v>0.43</v>
      </c>
      <c r="I9" s="9">
        <f t="shared" si="0"/>
        <v>317.77</v>
      </c>
    </row>
    <row r="10" spans="1:9" ht="21" customHeight="1">
      <c r="A10" s="27"/>
      <c r="B10" s="26" t="s">
        <v>18</v>
      </c>
      <c r="C10" s="26" t="s">
        <v>324</v>
      </c>
      <c r="D10" s="12">
        <v>83002793469</v>
      </c>
      <c r="E10" s="30" t="s">
        <v>20</v>
      </c>
      <c r="F10" s="8">
        <v>613.09</v>
      </c>
      <c r="G10" s="8">
        <v>17.26</v>
      </c>
      <c r="H10" s="8">
        <v>2.64</v>
      </c>
      <c r="I10" s="9">
        <f t="shared" si="0"/>
        <v>632.99</v>
      </c>
    </row>
    <row r="11" spans="1:9" ht="21" customHeight="1">
      <c r="A11" s="27"/>
      <c r="B11" s="26" t="s">
        <v>21</v>
      </c>
      <c r="C11" s="26" t="s">
        <v>365</v>
      </c>
      <c r="D11" s="12">
        <v>83005319585</v>
      </c>
      <c r="E11" s="30" t="s">
        <v>22</v>
      </c>
      <c r="F11" s="8">
        <v>214</v>
      </c>
      <c r="G11" s="8">
        <v>5.84</v>
      </c>
      <c r="H11" s="8">
        <v>1.36</v>
      </c>
      <c r="I11" s="9">
        <f t="shared" si="0"/>
        <v>221.20000000000002</v>
      </c>
    </row>
    <row r="12" spans="1:9" ht="21" customHeight="1">
      <c r="A12" s="27"/>
      <c r="B12" s="26" t="s">
        <v>23</v>
      </c>
      <c r="C12" s="26" t="s">
        <v>325</v>
      </c>
      <c r="D12" s="61">
        <v>999395654431</v>
      </c>
      <c r="E12" s="30" t="s">
        <v>24</v>
      </c>
      <c r="F12" s="8">
        <v>1261.87</v>
      </c>
      <c r="G12" s="8">
        <v>36.73</v>
      </c>
      <c r="H12" s="8">
        <v>2.64</v>
      </c>
      <c r="I12" s="9">
        <f t="shared" si="0"/>
        <v>1301.24</v>
      </c>
    </row>
    <row r="13" spans="1:9" ht="21" customHeight="1">
      <c r="A13" s="27"/>
      <c r="B13" s="26" t="s">
        <v>25</v>
      </c>
      <c r="C13" s="26" t="s">
        <v>315</v>
      </c>
      <c r="D13" s="61">
        <v>999395655454</v>
      </c>
      <c r="E13" s="30" t="s">
        <v>26</v>
      </c>
      <c r="F13" s="8">
        <v>728.53</v>
      </c>
      <c r="G13" s="8">
        <v>20.73</v>
      </c>
      <c r="H13" s="8">
        <v>2.64</v>
      </c>
      <c r="I13" s="9">
        <f t="shared" si="0"/>
        <v>751.9</v>
      </c>
    </row>
    <row r="14" spans="1:9" ht="21" customHeight="1">
      <c r="A14" s="27"/>
      <c r="B14" s="26" t="s">
        <v>27</v>
      </c>
      <c r="C14" s="26" t="s">
        <v>326</v>
      </c>
      <c r="D14" s="61">
        <v>512012286</v>
      </c>
      <c r="E14" s="30" t="s">
        <v>28</v>
      </c>
      <c r="F14" s="8">
        <v>691.23</v>
      </c>
      <c r="G14" s="8">
        <v>19.61</v>
      </c>
      <c r="H14" s="8">
        <v>2.64</v>
      </c>
      <c r="I14" s="9">
        <f t="shared" si="0"/>
        <v>713.48</v>
      </c>
    </row>
    <row r="15" spans="1:9" ht="21" customHeight="1">
      <c r="A15" s="27"/>
      <c r="B15" s="26" t="s">
        <v>29</v>
      </c>
      <c r="C15" s="26" t="s">
        <v>327</v>
      </c>
      <c r="D15" s="61">
        <v>999395659634</v>
      </c>
      <c r="E15" s="30" t="s">
        <v>30</v>
      </c>
      <c r="F15" s="8">
        <v>592.53</v>
      </c>
      <c r="G15" s="8">
        <v>17.53</v>
      </c>
      <c r="H15" s="8">
        <v>0.57</v>
      </c>
      <c r="I15" s="9">
        <f t="shared" si="0"/>
        <v>610.63</v>
      </c>
    </row>
    <row r="16" spans="1:9" ht="21" customHeight="1">
      <c r="A16" s="27"/>
      <c r="B16" s="26" t="s">
        <v>31</v>
      </c>
      <c r="C16" s="26" t="s">
        <v>317</v>
      </c>
      <c r="D16" s="61">
        <v>999395660462</v>
      </c>
      <c r="E16" s="30" t="s">
        <v>32</v>
      </c>
      <c r="F16" s="8">
        <v>388.07</v>
      </c>
      <c r="G16" s="8">
        <v>11.06</v>
      </c>
      <c r="H16" s="8">
        <v>1.36</v>
      </c>
      <c r="I16" s="9">
        <f t="shared" si="0"/>
        <v>400.49</v>
      </c>
    </row>
    <row r="17" spans="1:9" ht="21" customHeight="1">
      <c r="A17" s="27"/>
      <c r="B17" s="26" t="s">
        <v>33</v>
      </c>
      <c r="C17" s="26" t="s">
        <v>366</v>
      </c>
      <c r="D17" s="61">
        <v>999395662284</v>
      </c>
      <c r="E17" s="30" t="s">
        <v>34</v>
      </c>
      <c r="F17" s="8">
        <v>1382.41</v>
      </c>
      <c r="G17" s="8">
        <v>40.89</v>
      </c>
      <c r="H17" s="8">
        <v>1.36</v>
      </c>
      <c r="I17" s="9">
        <f t="shared" si="0"/>
        <v>1424.66</v>
      </c>
    </row>
    <row r="18" spans="1:9" ht="21" customHeight="1">
      <c r="A18" s="27"/>
      <c r="B18" s="26" t="s">
        <v>35</v>
      </c>
      <c r="C18" s="26" t="s">
        <v>292</v>
      </c>
      <c r="D18" s="61">
        <v>999395662947</v>
      </c>
      <c r="E18" s="30" t="s">
        <v>36</v>
      </c>
      <c r="F18" s="8">
        <v>601.6</v>
      </c>
      <c r="G18" s="8">
        <v>17.43</v>
      </c>
      <c r="H18" s="8">
        <v>1.45</v>
      </c>
      <c r="I18" s="9">
        <f t="shared" si="0"/>
        <v>620.48</v>
      </c>
    </row>
    <row r="19" spans="1:9" ht="21" customHeight="1">
      <c r="A19" s="27"/>
      <c r="B19" s="26" t="s">
        <v>37</v>
      </c>
      <c r="C19" s="26" t="s">
        <v>369</v>
      </c>
      <c r="D19" s="61">
        <v>999395663410</v>
      </c>
      <c r="E19" s="30" t="s">
        <v>38</v>
      </c>
      <c r="F19" s="8">
        <v>515.39</v>
      </c>
      <c r="G19" s="8">
        <v>14.88</v>
      </c>
      <c r="H19" s="8">
        <v>1.36</v>
      </c>
      <c r="I19" s="9">
        <f t="shared" si="0"/>
        <v>531.63</v>
      </c>
    </row>
    <row r="20" spans="1:9" ht="21" customHeight="1">
      <c r="A20" s="27"/>
      <c r="B20" s="26" t="s">
        <v>39</v>
      </c>
      <c r="C20" s="26" t="s">
        <v>293</v>
      </c>
      <c r="D20" s="61">
        <v>999395665004</v>
      </c>
      <c r="E20" s="30" t="s">
        <v>40</v>
      </c>
      <c r="F20" s="8">
        <v>1039.97</v>
      </c>
      <c r="G20" s="8">
        <v>30.58</v>
      </c>
      <c r="H20" s="8">
        <v>1.45</v>
      </c>
      <c r="I20" s="9">
        <f t="shared" si="0"/>
        <v>1072</v>
      </c>
    </row>
    <row r="21" spans="1:9" ht="21" customHeight="1">
      <c r="A21" s="27"/>
      <c r="B21" s="26" t="s">
        <v>41</v>
      </c>
      <c r="C21" s="26" t="s">
        <v>367</v>
      </c>
      <c r="D21" s="61">
        <v>999395665500</v>
      </c>
      <c r="E21" s="30" t="s">
        <v>42</v>
      </c>
      <c r="F21" s="8">
        <v>506.89</v>
      </c>
      <c r="G21" s="8">
        <v>14.62</v>
      </c>
      <c r="H21" s="8">
        <v>1.36</v>
      </c>
      <c r="I21" s="9">
        <f t="shared" si="0"/>
        <v>522.87</v>
      </c>
    </row>
    <row r="22" spans="1:9" ht="21" customHeight="1">
      <c r="A22" s="27"/>
      <c r="B22" s="26" t="s">
        <v>43</v>
      </c>
      <c r="C22" s="93"/>
      <c r="D22" s="61">
        <v>999395674678</v>
      </c>
      <c r="E22" s="30" t="s">
        <v>44</v>
      </c>
      <c r="F22" s="8">
        <v>138.24</v>
      </c>
      <c r="G22" s="8">
        <v>3.66</v>
      </c>
      <c r="H22" s="8">
        <v>1.14</v>
      </c>
      <c r="I22" s="9">
        <f t="shared" si="0"/>
        <v>143.04</v>
      </c>
    </row>
    <row r="23" spans="1:9" ht="21" customHeight="1">
      <c r="A23" s="27"/>
      <c r="B23" s="26" t="s">
        <v>45</v>
      </c>
      <c r="C23" s="26" t="s">
        <v>307</v>
      </c>
      <c r="D23" s="61">
        <v>999395675751</v>
      </c>
      <c r="E23" s="30" t="s">
        <v>46</v>
      </c>
      <c r="F23" s="8">
        <v>507.11</v>
      </c>
      <c r="G23" s="8">
        <v>14.63</v>
      </c>
      <c r="H23" s="8">
        <v>1.36</v>
      </c>
      <c r="I23" s="9">
        <f t="shared" si="0"/>
        <v>523.1</v>
      </c>
    </row>
    <row r="24" spans="1:9" s="19" customFormat="1" ht="21" customHeight="1">
      <c r="A24" s="27"/>
      <c r="B24" s="26" t="s">
        <v>47</v>
      </c>
      <c r="C24" s="26" t="s">
        <v>318</v>
      </c>
      <c r="D24" s="61">
        <v>999395676257</v>
      </c>
      <c r="E24" s="30" t="s">
        <v>48</v>
      </c>
      <c r="F24" s="8">
        <v>233.44</v>
      </c>
      <c r="G24" s="8">
        <v>6.42</v>
      </c>
      <c r="H24" s="8">
        <v>1.36</v>
      </c>
      <c r="I24" s="9">
        <f t="shared" si="0"/>
        <v>241.22</v>
      </c>
    </row>
    <row r="25" spans="1:9" s="19" customFormat="1" ht="21" customHeight="1">
      <c r="A25" s="27"/>
      <c r="B25" s="26" t="s">
        <v>49</v>
      </c>
      <c r="C25" s="26" t="s">
        <v>328</v>
      </c>
      <c r="D25" s="61">
        <v>999395676905</v>
      </c>
      <c r="E25" s="30" t="s">
        <v>50</v>
      </c>
      <c r="F25" s="8">
        <v>296.32</v>
      </c>
      <c r="G25" s="8">
        <v>8.27</v>
      </c>
      <c r="H25" s="8">
        <v>1.45</v>
      </c>
      <c r="I25" s="9">
        <f t="shared" si="0"/>
        <v>306.03999999999996</v>
      </c>
    </row>
    <row r="26" spans="1:9" ht="21" customHeight="1">
      <c r="A26" s="27"/>
      <c r="B26" s="26" t="s">
        <v>51</v>
      </c>
      <c r="C26" s="93"/>
      <c r="D26" s="61">
        <v>999395677339</v>
      </c>
      <c r="E26" s="30" t="s">
        <v>52</v>
      </c>
      <c r="F26" s="8">
        <v>415.39</v>
      </c>
      <c r="G26" s="8">
        <v>11.84</v>
      </c>
      <c r="H26" s="8">
        <v>1.45</v>
      </c>
      <c r="I26" s="9">
        <f t="shared" si="0"/>
        <v>428.67999999999995</v>
      </c>
    </row>
    <row r="27" spans="1:9" ht="21" customHeight="1">
      <c r="A27" s="27"/>
      <c r="B27" s="26" t="s">
        <v>53</v>
      </c>
      <c r="C27" s="93"/>
      <c r="D27" s="61">
        <v>999395680029</v>
      </c>
      <c r="E27" s="30" t="s">
        <v>54</v>
      </c>
      <c r="F27" s="8">
        <v>324.86</v>
      </c>
      <c r="G27" s="8">
        <v>9.12</v>
      </c>
      <c r="H27" s="8">
        <v>1.45</v>
      </c>
      <c r="I27" s="9">
        <f t="shared" si="0"/>
        <v>335.43</v>
      </c>
    </row>
    <row r="28" spans="1:9" ht="21" customHeight="1">
      <c r="A28" s="27"/>
      <c r="B28" s="26" t="s">
        <v>55</v>
      </c>
      <c r="C28" s="26" t="s">
        <v>294</v>
      </c>
      <c r="D28" s="61">
        <v>999395682858</v>
      </c>
      <c r="E28" s="30" t="s">
        <v>56</v>
      </c>
      <c r="F28" s="8">
        <v>487.22</v>
      </c>
      <c r="G28" s="8">
        <v>14</v>
      </c>
      <c r="H28" s="8">
        <v>1.45</v>
      </c>
      <c r="I28" s="9">
        <f t="shared" si="0"/>
        <v>502.67</v>
      </c>
    </row>
    <row r="29" spans="1:9" ht="21" customHeight="1">
      <c r="A29" s="27"/>
      <c r="B29" s="26" t="s">
        <v>57</v>
      </c>
      <c r="C29" s="26" t="s">
        <v>295</v>
      </c>
      <c r="D29" s="12">
        <v>512095448</v>
      </c>
      <c r="E29" s="30" t="s">
        <v>58</v>
      </c>
      <c r="F29" s="8">
        <v>959.99</v>
      </c>
      <c r="G29" s="8">
        <v>28.18</v>
      </c>
      <c r="H29" s="8">
        <v>1.45</v>
      </c>
      <c r="I29" s="9">
        <f t="shared" si="0"/>
        <v>989.62</v>
      </c>
    </row>
    <row r="30" spans="1:9" ht="21" customHeight="1">
      <c r="A30" s="27"/>
      <c r="B30" s="26" t="s">
        <v>59</v>
      </c>
      <c r="C30" s="26" t="s">
        <v>296</v>
      </c>
      <c r="D30" s="61">
        <v>999395695033</v>
      </c>
      <c r="E30" s="30" t="s">
        <v>60</v>
      </c>
      <c r="F30" s="8">
        <v>459.245</v>
      </c>
      <c r="G30" s="8">
        <v>13.65</v>
      </c>
      <c r="H30" s="8">
        <v>0.3</v>
      </c>
      <c r="I30" s="9">
        <f t="shared" si="0"/>
        <v>473.195</v>
      </c>
    </row>
    <row r="31" spans="1:9" ht="21" customHeight="1">
      <c r="A31" s="27"/>
      <c r="B31" s="26" t="s">
        <v>61</v>
      </c>
      <c r="C31" s="26" t="s">
        <v>296</v>
      </c>
      <c r="D31" s="61">
        <v>999395696742</v>
      </c>
      <c r="E31" s="30" t="s">
        <v>62</v>
      </c>
      <c r="F31" s="8">
        <f>1433.27/2</f>
        <v>716.635</v>
      </c>
      <c r="G31" s="8">
        <f>42.74/2</f>
        <v>21.37</v>
      </c>
      <c r="H31" s="8">
        <f>0.6/2</f>
        <v>0.3</v>
      </c>
      <c r="I31" s="9">
        <f t="shared" si="0"/>
        <v>738.305</v>
      </c>
    </row>
    <row r="32" spans="1:9" ht="21" customHeight="1">
      <c r="A32" s="27"/>
      <c r="B32" s="26" t="s">
        <v>63</v>
      </c>
      <c r="C32" s="26" t="s">
        <v>308</v>
      </c>
      <c r="D32" s="61">
        <v>999395697615</v>
      </c>
      <c r="E32" s="30" t="s">
        <v>64</v>
      </c>
      <c r="F32" s="8">
        <f>971.76/2</f>
        <v>485.88</v>
      </c>
      <c r="G32" s="8">
        <f>28.8/2</f>
        <v>14.4</v>
      </c>
      <c r="H32" s="8">
        <f>0.82/2</f>
        <v>0.41</v>
      </c>
      <c r="I32" s="9">
        <f t="shared" si="0"/>
        <v>500.69</v>
      </c>
    </row>
    <row r="33" spans="1:9" ht="21" customHeight="1">
      <c r="A33" s="27"/>
      <c r="B33" s="26" t="s">
        <v>65</v>
      </c>
      <c r="C33" s="26" t="s">
        <v>297</v>
      </c>
      <c r="D33" s="61">
        <v>999395698321</v>
      </c>
      <c r="E33" s="30" t="s">
        <v>66</v>
      </c>
      <c r="F33" s="8">
        <f>871.38/2</f>
        <v>435.69</v>
      </c>
      <c r="G33" s="8">
        <f>25.79/2</f>
        <v>12.895</v>
      </c>
      <c r="H33" s="8">
        <f>0.82/2</f>
        <v>0.41</v>
      </c>
      <c r="I33" s="9">
        <f t="shared" si="0"/>
        <v>448.995</v>
      </c>
    </row>
    <row r="34" spans="1:9" ht="21" customHeight="1">
      <c r="A34" s="27"/>
      <c r="B34" s="26" t="s">
        <v>67</v>
      </c>
      <c r="C34" s="26" t="s">
        <v>309</v>
      </c>
      <c r="D34" s="62">
        <v>999395698661</v>
      </c>
      <c r="E34" s="31" t="s">
        <v>68</v>
      </c>
      <c r="F34" s="18">
        <f>405.54/2</f>
        <v>202.77</v>
      </c>
      <c r="G34" s="18">
        <f>11.84/2</f>
        <v>5.92</v>
      </c>
      <c r="H34" s="18">
        <f>0.77/2</f>
        <v>0.385</v>
      </c>
      <c r="I34" s="9">
        <f t="shared" si="0"/>
        <v>209.075</v>
      </c>
    </row>
    <row r="35" spans="1:9" ht="21" customHeight="1">
      <c r="A35" s="27"/>
      <c r="B35" s="26" t="s">
        <v>69</v>
      </c>
      <c r="C35" s="26"/>
      <c r="D35" s="61">
        <v>999395699042</v>
      </c>
      <c r="E35" s="30" t="s">
        <v>70</v>
      </c>
      <c r="F35" s="8">
        <f>1288.22/2</f>
        <v>644.11</v>
      </c>
      <c r="G35" s="8">
        <f>38.33/2</f>
        <v>19.165</v>
      </c>
      <c r="H35" s="8">
        <f>0.75/2</f>
        <v>0.375</v>
      </c>
      <c r="I35" s="9">
        <f t="shared" si="0"/>
        <v>663.65</v>
      </c>
    </row>
    <row r="36" spans="1:15" s="20" customFormat="1" ht="21" customHeight="1">
      <c r="A36" s="27"/>
      <c r="B36" s="26" t="s">
        <v>71</v>
      </c>
      <c r="C36" s="93"/>
      <c r="D36" s="61">
        <v>999395699192</v>
      </c>
      <c r="E36" s="30" t="s">
        <v>72</v>
      </c>
      <c r="F36" s="18">
        <f>393.97/2</f>
        <v>196.985</v>
      </c>
      <c r="G36" s="18">
        <f>11.44/2</f>
        <v>5.72</v>
      </c>
      <c r="H36" s="18">
        <f>0.88/2</f>
        <v>0.44</v>
      </c>
      <c r="I36" s="87">
        <f t="shared" si="0"/>
        <v>203.145</v>
      </c>
      <c r="J36" s="19"/>
      <c r="K36" s="19"/>
      <c r="L36" s="19"/>
      <c r="M36" s="19"/>
      <c r="N36" s="19"/>
      <c r="O36" s="19"/>
    </row>
    <row r="37" spans="1:15" ht="21" customHeight="1">
      <c r="A37" s="27"/>
      <c r="B37" s="26" t="s">
        <v>73</v>
      </c>
      <c r="C37" s="93"/>
      <c r="D37" s="61">
        <v>999395699382</v>
      </c>
      <c r="E37" s="30" t="s">
        <v>74</v>
      </c>
      <c r="F37" s="8">
        <f>414.88/2</f>
        <v>207.44</v>
      </c>
      <c r="G37" s="8">
        <f>12.12/2</f>
        <v>6.06</v>
      </c>
      <c r="H37" s="8">
        <f>0.77/2</f>
        <v>0.385</v>
      </c>
      <c r="I37" s="9">
        <f t="shared" si="0"/>
        <v>213.885</v>
      </c>
      <c r="J37" s="19"/>
      <c r="K37" s="19"/>
      <c r="L37" s="19"/>
      <c r="M37" s="19"/>
      <c r="N37" s="19"/>
      <c r="O37" s="19"/>
    </row>
    <row r="38" spans="1:15" ht="21" customHeight="1">
      <c r="A38" s="27"/>
      <c r="B38" s="26" t="s">
        <v>75</v>
      </c>
      <c r="C38" s="26" t="s">
        <v>298</v>
      </c>
      <c r="D38" s="61">
        <v>999395699631</v>
      </c>
      <c r="E38" s="30" t="s">
        <v>76</v>
      </c>
      <c r="F38" s="8">
        <f>204.1/2</f>
        <v>102.05</v>
      </c>
      <c r="G38" s="8">
        <f>5.76/2</f>
        <v>2.88</v>
      </c>
      <c r="H38" s="8">
        <f>0.85/2</f>
        <v>0.425</v>
      </c>
      <c r="I38" s="9">
        <f t="shared" si="0"/>
        <v>105.35499999999999</v>
      </c>
      <c r="J38" s="19"/>
      <c r="K38" s="19"/>
      <c r="L38" s="19"/>
      <c r="M38" s="19"/>
      <c r="N38" s="19"/>
      <c r="O38" s="19"/>
    </row>
    <row r="39" spans="1:15" ht="21" customHeight="1">
      <c r="A39" s="27"/>
      <c r="B39" s="26" t="s">
        <v>77</v>
      </c>
      <c r="C39" s="93"/>
      <c r="D39" s="61">
        <v>999395699855</v>
      </c>
      <c r="E39" s="30" t="s">
        <v>78</v>
      </c>
      <c r="F39" s="8">
        <f>391.79/2</f>
        <v>195.895</v>
      </c>
      <c r="G39" s="8">
        <f>11.42/2</f>
        <v>5.71</v>
      </c>
      <c r="H39" s="8">
        <f>0.79/2</f>
        <v>0.395</v>
      </c>
      <c r="I39" s="9">
        <f t="shared" si="0"/>
        <v>202.00000000000003</v>
      </c>
      <c r="J39" s="19"/>
      <c r="K39" s="19"/>
      <c r="L39" s="19"/>
      <c r="M39" s="19"/>
      <c r="N39" s="19"/>
      <c r="O39" s="19"/>
    </row>
    <row r="40" spans="1:15" ht="21" customHeight="1">
      <c r="A40" s="27"/>
      <c r="B40" s="26" t="s">
        <v>79</v>
      </c>
      <c r="C40" s="26" t="s">
        <v>299</v>
      </c>
      <c r="D40" s="61">
        <v>999395699914</v>
      </c>
      <c r="E40" s="30" t="s">
        <v>80</v>
      </c>
      <c r="F40" s="8">
        <f>742.34/2</f>
        <v>371.17</v>
      </c>
      <c r="G40" s="8">
        <f>21.92/2</f>
        <v>10.96</v>
      </c>
      <c r="H40" s="8">
        <f>0.81/2</f>
        <v>0.405</v>
      </c>
      <c r="I40" s="9">
        <f t="shared" si="0"/>
        <v>382.53499999999997</v>
      </c>
      <c r="J40" s="19"/>
      <c r="K40" s="19"/>
      <c r="L40" s="19"/>
      <c r="M40" s="19"/>
      <c r="N40" s="19"/>
      <c r="O40" s="19"/>
    </row>
    <row r="41" spans="1:15" ht="21" customHeight="1">
      <c r="A41" s="27"/>
      <c r="B41" s="26" t="s">
        <v>81</v>
      </c>
      <c r="C41" s="26" t="s">
        <v>329</v>
      </c>
      <c r="D41" s="61">
        <v>999395720675</v>
      </c>
      <c r="E41" s="30" t="s">
        <v>82</v>
      </c>
      <c r="F41" s="8">
        <f>1460.48/2</f>
        <v>730.24</v>
      </c>
      <c r="G41" s="8">
        <f>43.48/2</f>
        <v>21.74</v>
      </c>
      <c r="H41" s="8">
        <f>0.77/2</f>
        <v>0.385</v>
      </c>
      <c r="I41" s="9">
        <f t="shared" si="0"/>
        <v>752.365</v>
      </c>
      <c r="J41" s="19"/>
      <c r="K41" s="19"/>
      <c r="L41" s="19"/>
      <c r="M41" s="19"/>
      <c r="N41" s="19"/>
      <c r="O41" s="19"/>
    </row>
    <row r="42" spans="1:15" ht="21" customHeight="1">
      <c r="A42" s="27"/>
      <c r="B42" s="26" t="s">
        <v>83</v>
      </c>
      <c r="C42" s="26" t="s">
        <v>300</v>
      </c>
      <c r="D42" s="61">
        <v>999395721493</v>
      </c>
      <c r="E42" s="30" t="s">
        <v>84</v>
      </c>
      <c r="F42" s="8">
        <f>1004.56/2</f>
        <v>502.28</v>
      </c>
      <c r="G42" s="8">
        <f>29.78/2</f>
        <v>14.89</v>
      </c>
      <c r="H42" s="8">
        <f>0.84/2</f>
        <v>0.42</v>
      </c>
      <c r="I42" s="9">
        <f t="shared" si="0"/>
        <v>517.5899999999999</v>
      </c>
      <c r="J42" s="19"/>
      <c r="K42" s="19"/>
      <c r="L42" s="19"/>
      <c r="M42" s="19"/>
      <c r="N42" s="19"/>
      <c r="O42" s="19"/>
    </row>
    <row r="43" spans="1:15" ht="21" customHeight="1">
      <c r="A43" s="27"/>
      <c r="B43" s="26" t="s">
        <v>85</v>
      </c>
      <c r="C43" s="26"/>
      <c r="D43" s="61">
        <v>999395728957</v>
      </c>
      <c r="E43" s="30" t="s">
        <v>86</v>
      </c>
      <c r="F43" s="8">
        <f>145.6/2</f>
        <v>72.8</v>
      </c>
      <c r="G43" s="8">
        <f>4.05/2</f>
        <v>2.025</v>
      </c>
      <c r="H43" s="8">
        <f>0.75/2</f>
        <v>0.375</v>
      </c>
      <c r="I43" s="9">
        <f t="shared" si="0"/>
        <v>75.2</v>
      </c>
      <c r="J43" s="19"/>
      <c r="K43" s="19"/>
      <c r="L43" s="19"/>
      <c r="M43" s="19"/>
      <c r="N43" s="19"/>
      <c r="O43" s="19"/>
    </row>
    <row r="44" spans="1:15" ht="21" customHeight="1">
      <c r="A44" s="27"/>
      <c r="B44" s="26" t="s">
        <v>87</v>
      </c>
      <c r="C44" s="26" t="s">
        <v>330</v>
      </c>
      <c r="D44" s="61">
        <v>999395729357</v>
      </c>
      <c r="E44" s="30" t="s">
        <v>88</v>
      </c>
      <c r="F44" s="8">
        <f>264.15/2</f>
        <v>132.075</v>
      </c>
      <c r="G44" s="8">
        <f>7.57/2</f>
        <v>3.785</v>
      </c>
      <c r="H44" s="8">
        <f>0.82/2</f>
        <v>0.41</v>
      </c>
      <c r="I44" s="9">
        <f t="shared" si="0"/>
        <v>136.26999999999998</v>
      </c>
      <c r="J44" s="19"/>
      <c r="K44" s="19"/>
      <c r="L44" s="19"/>
      <c r="M44" s="19"/>
      <c r="N44" s="19"/>
      <c r="O44" s="19"/>
    </row>
    <row r="45" spans="1:15" ht="21" customHeight="1">
      <c r="A45" s="27"/>
      <c r="B45" s="26" t="s">
        <v>89</v>
      </c>
      <c r="C45" s="93"/>
      <c r="D45" s="61">
        <v>999395729815</v>
      </c>
      <c r="E45" s="30" t="s">
        <v>90</v>
      </c>
      <c r="F45" s="8">
        <f>236.42/2</f>
        <v>118.21</v>
      </c>
      <c r="G45" s="8">
        <f>6.76/2</f>
        <v>3.38</v>
      </c>
      <c r="H45" s="8">
        <f>0.79/2</f>
        <v>0.395</v>
      </c>
      <c r="I45" s="9">
        <f t="shared" si="0"/>
        <v>121.98499999999999</v>
      </c>
      <c r="J45" s="19"/>
      <c r="K45" s="19"/>
      <c r="L45" s="19"/>
      <c r="M45" s="19"/>
      <c r="N45" s="19"/>
      <c r="O45" s="19"/>
    </row>
    <row r="46" spans="1:15" ht="21" customHeight="1">
      <c r="A46" s="27"/>
      <c r="B46" s="26" t="s">
        <v>94</v>
      </c>
      <c r="C46" s="26" t="s">
        <v>331</v>
      </c>
      <c r="D46" s="61">
        <v>999395730546</v>
      </c>
      <c r="E46" s="30" t="s">
        <v>91</v>
      </c>
      <c r="F46" s="8">
        <f>98.89/2</f>
        <v>49.445</v>
      </c>
      <c r="G46" s="8">
        <f>2.63/2</f>
        <v>1.315</v>
      </c>
      <c r="H46" s="8">
        <f>0.79/2</f>
        <v>0.395</v>
      </c>
      <c r="I46" s="9">
        <f t="shared" si="0"/>
        <v>51.155</v>
      </c>
      <c r="J46" s="19"/>
      <c r="K46" s="19"/>
      <c r="L46" s="19"/>
      <c r="M46" s="19"/>
      <c r="N46" s="19"/>
      <c r="O46" s="19"/>
    </row>
    <row r="47" spans="1:15" ht="21" customHeight="1">
      <c r="A47" s="27"/>
      <c r="B47" s="26" t="s">
        <v>92</v>
      </c>
      <c r="C47" s="26" t="s">
        <v>319</v>
      </c>
      <c r="D47" s="61">
        <v>999395731005</v>
      </c>
      <c r="E47" s="32" t="s">
        <v>93</v>
      </c>
      <c r="F47" s="8">
        <f>343.29/2</f>
        <v>171.645</v>
      </c>
      <c r="G47" s="8">
        <f>9.98/2</f>
        <v>4.99</v>
      </c>
      <c r="H47" s="8">
        <f>0.75/2</f>
        <v>0.375</v>
      </c>
      <c r="I47" s="9">
        <f t="shared" si="0"/>
        <v>177.01000000000002</v>
      </c>
      <c r="J47" s="19"/>
      <c r="K47" s="19"/>
      <c r="L47" s="19"/>
      <c r="M47" s="19"/>
      <c r="N47" s="19"/>
      <c r="O47" s="19"/>
    </row>
    <row r="48" spans="1:15" ht="21" customHeight="1">
      <c r="A48" s="27"/>
      <c r="B48" s="26" t="s">
        <v>95</v>
      </c>
      <c r="C48" s="93"/>
      <c r="D48" s="61">
        <v>999395731797</v>
      </c>
      <c r="E48" s="30" t="s">
        <v>96</v>
      </c>
      <c r="F48" s="8">
        <v>41.01</v>
      </c>
      <c r="G48" s="8">
        <v>1.11</v>
      </c>
      <c r="H48" s="8">
        <v>0.28</v>
      </c>
      <c r="I48" s="9">
        <f t="shared" si="0"/>
        <v>42.4</v>
      </c>
      <c r="J48" s="19"/>
      <c r="K48" s="19"/>
      <c r="L48" s="19"/>
      <c r="M48" s="19"/>
      <c r="N48" s="19"/>
      <c r="O48" s="19"/>
    </row>
    <row r="49" spans="1:15" ht="21" customHeight="1">
      <c r="A49" s="27"/>
      <c r="B49" s="26" t="s">
        <v>97</v>
      </c>
      <c r="C49" s="26"/>
      <c r="D49" s="61">
        <v>999395850272</v>
      </c>
      <c r="E49" s="30" t="s">
        <v>98</v>
      </c>
      <c r="F49" s="8">
        <v>814.24</v>
      </c>
      <c r="G49" s="8">
        <v>23.81</v>
      </c>
      <c r="H49" s="8">
        <v>1.45</v>
      </c>
      <c r="I49" s="9">
        <f t="shared" si="0"/>
        <v>839.5</v>
      </c>
      <c r="J49" s="19"/>
      <c r="K49" s="19"/>
      <c r="L49" s="19"/>
      <c r="M49" s="19"/>
      <c r="N49" s="19"/>
      <c r="O49" s="19"/>
    </row>
    <row r="50" spans="1:15" ht="21" customHeight="1">
      <c r="A50" s="27"/>
      <c r="B50" s="26" t="s">
        <v>99</v>
      </c>
      <c r="C50" s="93"/>
      <c r="D50" s="61">
        <v>999395869847</v>
      </c>
      <c r="E50" s="30" t="s">
        <v>100</v>
      </c>
      <c r="F50" s="8">
        <v>436.55</v>
      </c>
      <c r="G50" s="8">
        <v>12.83</v>
      </c>
      <c r="H50" s="8">
        <v>0.62</v>
      </c>
      <c r="I50" s="9">
        <f t="shared" si="0"/>
        <v>450</v>
      </c>
      <c r="J50" s="19"/>
      <c r="K50" s="19"/>
      <c r="L50" s="19"/>
      <c r="M50" s="19"/>
      <c r="N50" s="19"/>
      <c r="O50" s="19"/>
    </row>
    <row r="51" spans="1:15" ht="21" customHeight="1">
      <c r="A51" s="27"/>
      <c r="B51" s="26" t="s">
        <v>101</v>
      </c>
      <c r="C51" s="26" t="s">
        <v>371</v>
      </c>
      <c r="D51" s="12">
        <v>83007836944</v>
      </c>
      <c r="E51" s="30" t="s">
        <v>102</v>
      </c>
      <c r="F51" s="8">
        <f>280.53/2</f>
        <v>140.265</v>
      </c>
      <c r="G51" s="8">
        <f>8.07/2</f>
        <v>4.035</v>
      </c>
      <c r="H51" s="8">
        <f>0.8/2</f>
        <v>0.4</v>
      </c>
      <c r="I51" s="9">
        <f t="shared" si="0"/>
        <v>144.7</v>
      </c>
      <c r="J51" s="19"/>
      <c r="K51" s="19"/>
      <c r="L51" s="19"/>
      <c r="M51" s="19"/>
      <c r="N51" s="19"/>
      <c r="O51" s="19"/>
    </row>
    <row r="52" spans="1:15" ht="21" customHeight="1">
      <c r="A52" s="27"/>
      <c r="B52" s="26" t="s">
        <v>103</v>
      </c>
      <c r="C52" s="26" t="s">
        <v>286</v>
      </c>
      <c r="D52" s="61">
        <v>999418107083</v>
      </c>
      <c r="E52" s="30" t="s">
        <v>104</v>
      </c>
      <c r="F52" s="8">
        <f>3188.77/2</f>
        <v>1594.385</v>
      </c>
      <c r="G52" s="8">
        <f>95.33/2</f>
        <v>47.665</v>
      </c>
      <c r="H52" s="8">
        <f>0.79/2</f>
        <v>0.395</v>
      </c>
      <c r="I52" s="9">
        <f t="shared" si="0"/>
        <v>1642.445</v>
      </c>
      <c r="J52" s="19"/>
      <c r="K52" s="19"/>
      <c r="L52" s="19"/>
      <c r="M52" s="19"/>
      <c r="N52" s="19"/>
      <c r="O52" s="19"/>
    </row>
    <row r="53" spans="1:15" ht="21" customHeight="1">
      <c r="A53" s="27"/>
      <c r="B53" s="26" t="s">
        <v>105</v>
      </c>
      <c r="C53" s="26" t="s">
        <v>332</v>
      </c>
      <c r="D53" s="61">
        <v>999418108530</v>
      </c>
      <c r="E53" s="30" t="s">
        <v>106</v>
      </c>
      <c r="F53" s="8">
        <v>351.53</v>
      </c>
      <c r="G53" s="8">
        <v>9.92</v>
      </c>
      <c r="H53" s="8">
        <v>1.45</v>
      </c>
      <c r="I53" s="9">
        <f t="shared" si="0"/>
        <v>362.9</v>
      </c>
      <c r="J53" s="19"/>
      <c r="K53" s="19"/>
      <c r="L53" s="19"/>
      <c r="M53" s="19"/>
      <c r="N53" s="19"/>
      <c r="O53" s="19"/>
    </row>
    <row r="54" spans="1:15" ht="21" customHeight="1">
      <c r="A54" s="27"/>
      <c r="B54" s="26" t="s">
        <v>107</v>
      </c>
      <c r="C54" s="26" t="s">
        <v>302</v>
      </c>
      <c r="D54" s="61">
        <v>999444028261</v>
      </c>
      <c r="E54" s="30" t="s">
        <v>108</v>
      </c>
      <c r="F54" s="8">
        <v>128.62</v>
      </c>
      <c r="G54" s="8">
        <v>3.24</v>
      </c>
      <c r="H54" s="8">
        <v>1.45</v>
      </c>
      <c r="I54" s="9">
        <f t="shared" si="0"/>
        <v>133.31</v>
      </c>
      <c r="J54" s="19"/>
      <c r="K54" s="19"/>
      <c r="L54" s="19"/>
      <c r="M54" s="19"/>
      <c r="N54" s="19"/>
      <c r="O54" s="19"/>
    </row>
    <row r="55" spans="1:15" ht="21" customHeight="1">
      <c r="A55" s="27"/>
      <c r="B55" s="26" t="s">
        <v>109</v>
      </c>
      <c r="C55" s="26" t="s">
        <v>313</v>
      </c>
      <c r="D55" s="12">
        <v>83000769293</v>
      </c>
      <c r="E55" s="30" t="s">
        <v>110</v>
      </c>
      <c r="F55" s="8">
        <v>298.64</v>
      </c>
      <c r="G55" s="8">
        <v>8.38</v>
      </c>
      <c r="H55" s="8">
        <v>1.36</v>
      </c>
      <c r="I55" s="9">
        <f t="shared" si="0"/>
        <v>308.38</v>
      </c>
      <c r="J55" s="19"/>
      <c r="K55" s="19"/>
      <c r="L55" s="19"/>
      <c r="M55" s="19"/>
      <c r="N55" s="19"/>
      <c r="O55" s="19"/>
    </row>
    <row r="56" spans="1:9" s="19" customFormat="1" ht="21" customHeight="1">
      <c r="A56" s="27"/>
      <c r="B56" s="35" t="s">
        <v>125</v>
      </c>
      <c r="C56" s="94"/>
      <c r="D56" s="36">
        <v>60006203645</v>
      </c>
      <c r="E56" s="37" t="s">
        <v>126</v>
      </c>
      <c r="F56" s="8">
        <v>26.32</v>
      </c>
      <c r="G56" s="8">
        <v>0.76</v>
      </c>
      <c r="H56" s="8">
        <v>0.06</v>
      </c>
      <c r="I56" s="9">
        <f t="shared" si="0"/>
        <v>27.14</v>
      </c>
    </row>
    <row r="57" spans="1:15" s="29" customFormat="1" ht="21" customHeight="1">
      <c r="A57" s="27"/>
      <c r="B57" s="26" t="s">
        <v>127</v>
      </c>
      <c r="C57" s="93"/>
      <c r="D57" s="12">
        <v>60007966411</v>
      </c>
      <c r="E57" s="30" t="s">
        <v>128</v>
      </c>
      <c r="F57" s="8">
        <v>63.23</v>
      </c>
      <c r="G57" s="8">
        <v>1.87</v>
      </c>
      <c r="H57" s="8">
        <v>0.06</v>
      </c>
      <c r="I57" s="9">
        <f t="shared" si="0"/>
        <v>65.16</v>
      </c>
      <c r="J57" s="19"/>
      <c r="K57" s="19"/>
      <c r="L57" s="19"/>
      <c r="M57" s="19"/>
      <c r="N57" s="19"/>
      <c r="O57" s="19"/>
    </row>
    <row r="58" spans="1:15" s="29" customFormat="1" ht="21" customHeight="1">
      <c r="A58" s="27"/>
      <c r="B58" s="26" t="s">
        <v>129</v>
      </c>
      <c r="C58" s="26" t="s">
        <v>289</v>
      </c>
      <c r="D58" s="12">
        <v>60006643135</v>
      </c>
      <c r="E58" s="30" t="s">
        <v>130</v>
      </c>
      <c r="F58" s="8">
        <f>91.28/2</f>
        <v>45.64</v>
      </c>
      <c r="G58" s="8">
        <f>2.7/2</f>
        <v>1.35</v>
      </c>
      <c r="H58" s="8">
        <f>0.08/2</f>
        <v>0.04</v>
      </c>
      <c r="I58" s="9">
        <f t="shared" si="0"/>
        <v>47.03</v>
      </c>
      <c r="J58" s="19"/>
      <c r="K58" s="19"/>
      <c r="L58" s="19"/>
      <c r="M58" s="19"/>
      <c r="N58" s="19"/>
      <c r="O58" s="19"/>
    </row>
    <row r="59" spans="1:15" ht="21" customHeight="1">
      <c r="A59" s="27"/>
      <c r="B59" s="26" t="s">
        <v>131</v>
      </c>
      <c r="C59" s="93"/>
      <c r="D59" s="12">
        <v>60007843244</v>
      </c>
      <c r="E59" s="30" t="s">
        <v>132</v>
      </c>
      <c r="F59" s="8">
        <f>83.65/2</f>
        <v>41.825</v>
      </c>
      <c r="G59" s="8">
        <f>2.48/2</f>
        <v>1.24</v>
      </c>
      <c r="H59" s="8">
        <f>0.08/2</f>
        <v>0.04</v>
      </c>
      <c r="I59" s="9">
        <f aca="true" t="shared" si="1" ref="I59:I119">SUM(F59:H59)</f>
        <v>43.105000000000004</v>
      </c>
      <c r="J59" s="19"/>
      <c r="K59" s="19"/>
      <c r="L59" s="19"/>
      <c r="M59" s="19"/>
      <c r="N59" s="19"/>
      <c r="O59" s="19"/>
    </row>
    <row r="60" spans="1:15" ht="21" customHeight="1">
      <c r="A60" s="27"/>
      <c r="B60" s="26" t="s">
        <v>133</v>
      </c>
      <c r="C60" s="26" t="s">
        <v>322</v>
      </c>
      <c r="D60" s="12">
        <v>60007843069</v>
      </c>
      <c r="E60" s="30" t="s">
        <v>134</v>
      </c>
      <c r="F60" s="8">
        <f>118.49/2</f>
        <v>59.245</v>
      </c>
      <c r="G60" s="8">
        <f>3.46/2</f>
        <v>1.73</v>
      </c>
      <c r="H60" s="8">
        <f>0.21/2</f>
        <v>0.105</v>
      </c>
      <c r="I60" s="9">
        <f t="shared" si="1"/>
        <v>61.07999999999999</v>
      </c>
      <c r="J60" s="19"/>
      <c r="K60" s="19"/>
      <c r="L60" s="19"/>
      <c r="M60" s="19"/>
      <c r="N60" s="19"/>
      <c r="O60" s="19"/>
    </row>
    <row r="61" spans="1:15" ht="21" customHeight="1">
      <c r="A61" s="27"/>
      <c r="B61" s="26" t="s">
        <v>135</v>
      </c>
      <c r="C61" s="26" t="s">
        <v>353</v>
      </c>
      <c r="D61" s="12">
        <v>60007843073</v>
      </c>
      <c r="E61" s="30" t="s">
        <v>136</v>
      </c>
      <c r="F61" s="8">
        <f>125.38/2</f>
        <v>62.69</v>
      </c>
      <c r="G61" s="8">
        <f>3.73/2</f>
        <v>1.865</v>
      </c>
      <c r="H61" s="8">
        <f>0.07/2</f>
        <v>0.035</v>
      </c>
      <c r="I61" s="9">
        <f t="shared" si="1"/>
        <v>64.58999999999999</v>
      </c>
      <c r="J61" s="19"/>
      <c r="K61" s="19"/>
      <c r="L61" s="19"/>
      <c r="M61" s="19"/>
      <c r="N61" s="19"/>
      <c r="O61" s="19"/>
    </row>
    <row r="62" spans="1:15" ht="21" customHeight="1">
      <c r="A62" s="27"/>
      <c r="B62" s="26" t="s">
        <v>137</v>
      </c>
      <c r="C62" s="93"/>
      <c r="D62" s="12">
        <v>60007843356</v>
      </c>
      <c r="E62" s="30" t="s">
        <v>138</v>
      </c>
      <c r="F62" s="8">
        <f>35.62/2</f>
        <v>17.81</v>
      </c>
      <c r="G62" s="8">
        <f>1.03/2</f>
        <v>0.515</v>
      </c>
      <c r="H62" s="8">
        <f>0.08/2</f>
        <v>0.04</v>
      </c>
      <c r="I62" s="9">
        <f t="shared" si="1"/>
        <v>18.365</v>
      </c>
      <c r="J62" s="19"/>
      <c r="K62" s="19"/>
      <c r="L62" s="19"/>
      <c r="M62" s="19"/>
      <c r="N62" s="19"/>
      <c r="O62" s="19"/>
    </row>
    <row r="63" spans="1:15" ht="21" customHeight="1">
      <c r="A63" s="27"/>
      <c r="B63" s="26" t="s">
        <v>139</v>
      </c>
      <c r="C63" s="93"/>
      <c r="D63" s="12">
        <v>60007847274</v>
      </c>
      <c r="E63" s="30" t="s">
        <v>140</v>
      </c>
      <c r="F63" s="8">
        <f>55.66/2</f>
        <v>27.83</v>
      </c>
      <c r="G63" s="8">
        <f>1.58/2</f>
        <v>0.79</v>
      </c>
      <c r="H63" s="8">
        <f>0.21/2</f>
        <v>0.105</v>
      </c>
      <c r="I63" s="9">
        <f t="shared" si="1"/>
        <v>28.724999999999998</v>
      </c>
      <c r="J63" s="19"/>
      <c r="K63" s="19"/>
      <c r="L63" s="19"/>
      <c r="M63" s="19"/>
      <c r="N63" s="19"/>
      <c r="O63" s="19"/>
    </row>
    <row r="64" spans="1:15" ht="21" customHeight="1">
      <c r="A64" s="27"/>
      <c r="B64" s="26" t="s">
        <v>141</v>
      </c>
      <c r="C64" s="93"/>
      <c r="D64" s="12">
        <v>60007847482</v>
      </c>
      <c r="E64" s="30" t="s">
        <v>142</v>
      </c>
      <c r="F64" s="8">
        <v>59.45</v>
      </c>
      <c r="G64" s="8">
        <v>1.76</v>
      </c>
      <c r="H64" s="8">
        <v>0.05</v>
      </c>
      <c r="I64" s="9">
        <f t="shared" si="1"/>
        <v>61.26</v>
      </c>
      <c r="J64" s="19"/>
      <c r="K64" s="19"/>
      <c r="L64" s="19"/>
      <c r="M64" s="19"/>
      <c r="N64" s="19"/>
      <c r="O64" s="19"/>
    </row>
    <row r="65" spans="1:15" ht="21" customHeight="1">
      <c r="A65" s="27"/>
      <c r="B65" s="26" t="s">
        <v>143</v>
      </c>
      <c r="C65" s="26" t="s">
        <v>323</v>
      </c>
      <c r="D65" s="12">
        <v>60007858040</v>
      </c>
      <c r="E65" s="90" t="s">
        <v>144</v>
      </c>
      <c r="F65" s="8">
        <v>22.28</v>
      </c>
      <c r="G65" s="8">
        <v>0.63</v>
      </c>
      <c r="H65" s="8">
        <v>0.09</v>
      </c>
      <c r="I65" s="9">
        <f t="shared" si="1"/>
        <v>23</v>
      </c>
      <c r="J65" s="19"/>
      <c r="K65" s="19"/>
      <c r="L65" s="19"/>
      <c r="M65" s="19"/>
      <c r="N65" s="19"/>
      <c r="O65" s="19"/>
    </row>
    <row r="66" spans="1:15" ht="21" customHeight="1">
      <c r="A66" s="27"/>
      <c r="B66" s="43" t="s">
        <v>145</v>
      </c>
      <c r="C66" s="43" t="s">
        <v>358</v>
      </c>
      <c r="D66" s="44">
        <v>60007889355</v>
      </c>
      <c r="E66" s="37" t="s">
        <v>146</v>
      </c>
      <c r="F66" s="18">
        <f>53.11/2</f>
        <v>26.555</v>
      </c>
      <c r="G66" s="18">
        <f>1.56/2</f>
        <v>0.78</v>
      </c>
      <c r="H66" s="18">
        <f>0.08/2</f>
        <v>0.04</v>
      </c>
      <c r="I66" s="9">
        <f t="shared" si="1"/>
        <v>27.375</v>
      </c>
      <c r="J66" s="19"/>
      <c r="K66" s="19"/>
      <c r="L66" s="19"/>
      <c r="M66" s="19"/>
      <c r="N66" s="19"/>
      <c r="O66" s="19"/>
    </row>
    <row r="67" spans="1:15" ht="21" customHeight="1">
      <c r="A67" s="39"/>
      <c r="B67" s="41" t="s">
        <v>147</v>
      </c>
      <c r="C67" s="41" t="s">
        <v>311</v>
      </c>
      <c r="D67" s="40">
        <v>60007899611</v>
      </c>
      <c r="E67" s="42" t="s">
        <v>148</v>
      </c>
      <c r="F67" s="18">
        <v>94.71</v>
      </c>
      <c r="G67" s="18">
        <v>2.8</v>
      </c>
      <c r="H67" s="18">
        <v>0.1</v>
      </c>
      <c r="I67" s="9">
        <f t="shared" si="1"/>
        <v>97.60999999999999</v>
      </c>
      <c r="J67" s="19"/>
      <c r="K67" s="19"/>
      <c r="L67" s="19"/>
      <c r="M67" s="19"/>
      <c r="N67" s="19"/>
      <c r="O67" s="19"/>
    </row>
    <row r="68" spans="1:15" s="29" customFormat="1" ht="21" customHeight="1">
      <c r="A68" s="27"/>
      <c r="B68" s="26" t="s">
        <v>149</v>
      </c>
      <c r="C68" s="93"/>
      <c r="D68" s="12">
        <v>60008073286</v>
      </c>
      <c r="E68" s="30" t="s">
        <v>150</v>
      </c>
      <c r="F68" s="8">
        <f>30.89/2</f>
        <v>15.445</v>
      </c>
      <c r="G68" s="8">
        <f>0.83/2</f>
        <v>0.415</v>
      </c>
      <c r="H68" s="8">
        <f>0.22/2</f>
        <v>0.11</v>
      </c>
      <c r="I68" s="9">
        <f t="shared" si="1"/>
        <v>15.969999999999999</v>
      </c>
      <c r="J68" s="19"/>
      <c r="K68" s="19"/>
      <c r="L68" s="19"/>
      <c r="M68" s="19"/>
      <c r="N68" s="19"/>
      <c r="O68" s="19"/>
    </row>
    <row r="69" spans="1:15" s="20" customFormat="1" ht="21" customHeight="1">
      <c r="A69" s="27"/>
      <c r="B69" s="26" t="s">
        <v>151</v>
      </c>
      <c r="C69" s="26"/>
      <c r="D69" s="12">
        <v>60008101006</v>
      </c>
      <c r="E69" s="30" t="s">
        <v>152</v>
      </c>
      <c r="F69" s="8">
        <v>29.58</v>
      </c>
      <c r="G69" s="8">
        <v>0.85</v>
      </c>
      <c r="H69" s="8">
        <v>0.09</v>
      </c>
      <c r="I69" s="9">
        <f t="shared" si="1"/>
        <v>30.52</v>
      </c>
      <c r="J69" s="19"/>
      <c r="K69" s="19"/>
      <c r="L69" s="19"/>
      <c r="M69" s="19"/>
      <c r="N69" s="19"/>
      <c r="O69" s="19"/>
    </row>
    <row r="70" spans="1:15" s="20" customFormat="1" ht="21" customHeight="1">
      <c r="A70" s="27"/>
      <c r="B70" s="26" t="s">
        <v>153</v>
      </c>
      <c r="C70" s="26" t="s">
        <v>359</v>
      </c>
      <c r="D70" s="12">
        <v>60008115357</v>
      </c>
      <c r="E70" s="30" t="s">
        <v>154</v>
      </c>
      <c r="F70" s="8">
        <v>47.65</v>
      </c>
      <c r="G70" s="8">
        <v>1.4</v>
      </c>
      <c r="H70" s="8">
        <v>0.06</v>
      </c>
      <c r="I70" s="9">
        <f t="shared" si="1"/>
        <v>49.11</v>
      </c>
      <c r="J70" s="19"/>
      <c r="K70" s="19"/>
      <c r="L70" s="19"/>
      <c r="M70" s="19"/>
      <c r="N70" s="19"/>
      <c r="O70" s="19"/>
    </row>
    <row r="71" spans="1:15" s="20" customFormat="1" ht="21" customHeight="1">
      <c r="A71" s="27"/>
      <c r="B71" s="26" t="s">
        <v>155</v>
      </c>
      <c r="C71" s="26" t="s">
        <v>312</v>
      </c>
      <c r="D71" s="12">
        <v>60008450632</v>
      </c>
      <c r="E71" s="30" t="s">
        <v>156</v>
      </c>
      <c r="F71" s="8">
        <v>18.81</v>
      </c>
      <c r="G71" s="8">
        <v>0.54</v>
      </c>
      <c r="H71" s="8">
        <v>0.05</v>
      </c>
      <c r="I71" s="9">
        <f t="shared" si="1"/>
        <v>19.4</v>
      </c>
      <c r="J71" s="19"/>
      <c r="K71" s="19"/>
      <c r="L71" s="19"/>
      <c r="M71" s="19"/>
      <c r="N71" s="19"/>
      <c r="O71" s="19"/>
    </row>
    <row r="72" spans="1:15" ht="21" customHeight="1">
      <c r="A72" s="27"/>
      <c r="B72" s="26" t="s">
        <v>157</v>
      </c>
      <c r="C72" s="26" t="s">
        <v>360</v>
      </c>
      <c r="D72" s="12">
        <v>60008427213</v>
      </c>
      <c r="E72" s="30" t="s">
        <v>158</v>
      </c>
      <c r="F72" s="8">
        <f>48.32/2</f>
        <v>24.16</v>
      </c>
      <c r="G72" s="8">
        <f>1.42/2</f>
        <v>0.71</v>
      </c>
      <c r="H72" s="8">
        <f>0.08/2</f>
        <v>0.04</v>
      </c>
      <c r="I72" s="9">
        <f t="shared" si="1"/>
        <v>24.91</v>
      </c>
      <c r="J72" s="19"/>
      <c r="K72" s="19"/>
      <c r="L72" s="19"/>
      <c r="M72" s="19"/>
      <c r="N72" s="19"/>
      <c r="O72" s="19"/>
    </row>
    <row r="73" spans="1:15" ht="21" customHeight="1">
      <c r="A73" s="27"/>
      <c r="B73" s="26" t="s">
        <v>159</v>
      </c>
      <c r="C73" s="26" t="s">
        <v>361</v>
      </c>
      <c r="D73" s="12">
        <v>60008475541</v>
      </c>
      <c r="E73" s="30" t="s">
        <v>160</v>
      </c>
      <c r="F73" s="8">
        <f>144.42/2</f>
        <v>72.21</v>
      </c>
      <c r="G73" s="8">
        <f>4.3/2</f>
        <v>2.15</v>
      </c>
      <c r="H73" s="8">
        <f>0.08/2</f>
        <v>0.04</v>
      </c>
      <c r="I73" s="9">
        <f t="shared" si="1"/>
        <v>74.4</v>
      </c>
      <c r="J73" s="19"/>
      <c r="K73" s="19"/>
      <c r="L73" s="19"/>
      <c r="M73" s="19"/>
      <c r="N73" s="19"/>
      <c r="O73" s="19"/>
    </row>
    <row r="74" spans="1:15" ht="21" customHeight="1">
      <c r="A74" s="27"/>
      <c r="B74" s="26" t="s">
        <v>161</v>
      </c>
      <c r="C74" s="93"/>
      <c r="D74" s="12">
        <v>60008368817</v>
      </c>
      <c r="E74" s="30" t="s">
        <v>162</v>
      </c>
      <c r="F74" s="8">
        <v>29.46</v>
      </c>
      <c r="G74" s="8">
        <v>0.86</v>
      </c>
      <c r="H74" s="8">
        <v>0.06</v>
      </c>
      <c r="I74" s="9">
        <f t="shared" si="1"/>
        <v>30.38</v>
      </c>
      <c r="J74" s="19"/>
      <c r="K74" s="19"/>
      <c r="L74" s="19"/>
      <c r="M74" s="19"/>
      <c r="N74" s="19"/>
      <c r="O74" s="19"/>
    </row>
    <row r="75" spans="1:15" ht="21" customHeight="1">
      <c r="A75" s="27"/>
      <c r="B75" s="26" t="s">
        <v>163</v>
      </c>
      <c r="C75" s="26" t="s">
        <v>372</v>
      </c>
      <c r="D75" s="12">
        <v>60091069643</v>
      </c>
      <c r="E75" s="30" t="s">
        <v>164</v>
      </c>
      <c r="F75" s="8">
        <v>24.81</v>
      </c>
      <c r="G75" s="8">
        <v>0.72</v>
      </c>
      <c r="H75" s="8">
        <v>0.06</v>
      </c>
      <c r="I75" s="9">
        <f t="shared" si="1"/>
        <v>25.589999999999996</v>
      </c>
      <c r="J75" s="19"/>
      <c r="K75" s="19"/>
      <c r="L75" s="19"/>
      <c r="M75" s="19"/>
      <c r="N75" s="19"/>
      <c r="O75" s="19"/>
    </row>
    <row r="76" spans="1:15" ht="21" customHeight="1">
      <c r="A76" s="27"/>
      <c r="B76" s="26" t="s">
        <v>165</v>
      </c>
      <c r="C76" s="26" t="s">
        <v>363</v>
      </c>
      <c r="D76" s="12">
        <v>60089709450</v>
      </c>
      <c r="E76" s="30" t="s">
        <v>166</v>
      </c>
      <c r="F76" s="8">
        <v>28.75</v>
      </c>
      <c r="G76" s="8">
        <v>0.84</v>
      </c>
      <c r="H76" s="8">
        <v>0.05</v>
      </c>
      <c r="I76" s="9">
        <f t="shared" si="1"/>
        <v>29.64</v>
      </c>
      <c r="J76" s="19"/>
      <c r="K76" s="19"/>
      <c r="L76" s="19"/>
      <c r="M76" s="19"/>
      <c r="N76" s="19"/>
      <c r="O76" s="19"/>
    </row>
    <row r="77" spans="1:15" ht="21" customHeight="1">
      <c r="A77" s="27"/>
      <c r="B77" s="26" t="s">
        <v>167</v>
      </c>
      <c r="C77" s="26" t="s">
        <v>362</v>
      </c>
      <c r="D77" s="12">
        <v>60089553056</v>
      </c>
      <c r="E77" s="30" t="s">
        <v>168</v>
      </c>
      <c r="F77" s="8">
        <f>301.22/2</f>
        <v>150.61</v>
      </c>
      <c r="G77" s="8">
        <f>8.97/2</f>
        <v>4.485</v>
      </c>
      <c r="H77" s="8">
        <f>0.16/2</f>
        <v>0.08</v>
      </c>
      <c r="I77" s="9">
        <f t="shared" si="1"/>
        <v>155.17500000000004</v>
      </c>
      <c r="J77" s="19"/>
      <c r="K77" s="19"/>
      <c r="L77" s="19"/>
      <c r="M77" s="19"/>
      <c r="N77" s="19"/>
      <c r="O77" s="19"/>
    </row>
    <row r="78" spans="1:15" ht="21" customHeight="1">
      <c r="A78" s="27"/>
      <c r="B78" s="26" t="s">
        <v>169</v>
      </c>
      <c r="C78" s="26" t="s">
        <v>364</v>
      </c>
      <c r="D78" s="17">
        <v>60090692774</v>
      </c>
      <c r="E78" s="31" t="s">
        <v>170</v>
      </c>
      <c r="F78" s="18">
        <v>24.49</v>
      </c>
      <c r="G78" s="18">
        <v>0.71</v>
      </c>
      <c r="H78" s="18">
        <v>0.06</v>
      </c>
      <c r="I78" s="9">
        <f t="shared" si="1"/>
        <v>25.259999999999998</v>
      </c>
      <c r="J78" s="19"/>
      <c r="K78" s="19"/>
      <c r="L78" s="19"/>
      <c r="M78" s="19"/>
      <c r="N78" s="19"/>
      <c r="O78" s="19"/>
    </row>
    <row r="79" spans="1:15" ht="21" customHeight="1">
      <c r="A79" s="27"/>
      <c r="B79" s="26" t="s">
        <v>171</v>
      </c>
      <c r="C79" s="93"/>
      <c r="D79" s="12">
        <v>60006579681</v>
      </c>
      <c r="E79" s="30" t="s">
        <v>172</v>
      </c>
      <c r="F79" s="8">
        <v>21.43</v>
      </c>
      <c r="G79" s="8">
        <v>0.62</v>
      </c>
      <c r="H79" s="8">
        <v>0.06</v>
      </c>
      <c r="I79" s="9">
        <f t="shared" si="1"/>
        <v>22.11</v>
      </c>
      <c r="J79" s="19"/>
      <c r="K79" s="19"/>
      <c r="L79" s="19"/>
      <c r="M79" s="19"/>
      <c r="N79" s="19"/>
      <c r="O79" s="19"/>
    </row>
    <row r="80" spans="1:15" ht="21" customHeight="1">
      <c r="A80" s="27"/>
      <c r="B80" s="26" t="s">
        <v>173</v>
      </c>
      <c r="C80" s="26" t="s">
        <v>333</v>
      </c>
      <c r="D80" s="12">
        <v>60006586696</v>
      </c>
      <c r="E80" s="30" t="s">
        <v>174</v>
      </c>
      <c r="F80" s="8">
        <f>259.73/2</f>
        <v>129.865</v>
      </c>
      <c r="G80" s="8">
        <f>7.7/2</f>
        <v>3.85</v>
      </c>
      <c r="H80" s="8">
        <f>0.22/2</f>
        <v>0.11</v>
      </c>
      <c r="I80" s="9">
        <f t="shared" si="1"/>
        <v>133.82500000000002</v>
      </c>
      <c r="J80" s="19"/>
      <c r="K80" s="19"/>
      <c r="L80" s="19"/>
      <c r="M80" s="19"/>
      <c r="N80" s="19"/>
      <c r="O80" s="19"/>
    </row>
    <row r="81" spans="1:15" s="20" customFormat="1" ht="21" customHeight="1">
      <c r="A81" s="27"/>
      <c r="B81" s="26" t="s">
        <v>175</v>
      </c>
      <c r="C81" s="93"/>
      <c r="D81" s="17">
        <v>60006586704</v>
      </c>
      <c r="E81" s="31" t="s">
        <v>176</v>
      </c>
      <c r="F81" s="18">
        <f>23.75/2</f>
        <v>11.875</v>
      </c>
      <c r="G81" s="18">
        <f>0.68/2</f>
        <v>0.34</v>
      </c>
      <c r="H81" s="18">
        <f>0.08/2</f>
        <v>0.04</v>
      </c>
      <c r="I81" s="9">
        <f t="shared" si="1"/>
        <v>12.254999999999999</v>
      </c>
      <c r="J81" s="19"/>
      <c r="K81" s="19"/>
      <c r="L81" s="19"/>
      <c r="M81" s="19"/>
      <c r="N81" s="19"/>
      <c r="O81" s="19"/>
    </row>
    <row r="82" spans="1:15" s="20" customFormat="1" ht="21" customHeight="1">
      <c r="A82" s="27"/>
      <c r="B82" s="26" t="s">
        <v>177</v>
      </c>
      <c r="C82" s="26" t="s">
        <v>370</v>
      </c>
      <c r="D82" s="12">
        <v>60006587652</v>
      </c>
      <c r="E82" s="33" t="s">
        <v>178</v>
      </c>
      <c r="F82" s="15">
        <f>63.2/2</f>
        <v>31.6</v>
      </c>
      <c r="G82" s="15">
        <f>1.8/2</f>
        <v>0.9</v>
      </c>
      <c r="H82" s="15">
        <f>0.23/2</f>
        <v>0.115</v>
      </c>
      <c r="I82" s="9">
        <f t="shared" si="1"/>
        <v>32.615</v>
      </c>
      <c r="J82" s="19"/>
      <c r="K82" s="19"/>
      <c r="L82" s="19"/>
      <c r="M82" s="19"/>
      <c r="N82" s="19"/>
      <c r="O82" s="19"/>
    </row>
    <row r="83" spans="1:15" ht="21" customHeight="1">
      <c r="A83" s="27"/>
      <c r="B83" s="26" t="s">
        <v>179</v>
      </c>
      <c r="C83" s="26" t="s">
        <v>334</v>
      </c>
      <c r="D83" s="12">
        <v>60006587671</v>
      </c>
      <c r="E83" s="30" t="s">
        <v>180</v>
      </c>
      <c r="F83" s="8">
        <f>76.91/2</f>
        <v>38.455</v>
      </c>
      <c r="G83" s="8">
        <f>2.25/2</f>
        <v>1.125</v>
      </c>
      <c r="H83" s="8">
        <f>0.13/2</f>
        <v>0.065</v>
      </c>
      <c r="I83" s="9">
        <f t="shared" si="1"/>
        <v>39.644999999999996</v>
      </c>
      <c r="J83" s="19"/>
      <c r="K83" s="19"/>
      <c r="L83" s="19"/>
      <c r="M83" s="19"/>
      <c r="N83" s="19"/>
      <c r="O83" s="19"/>
    </row>
    <row r="84" spans="1:15" ht="21" customHeight="1">
      <c r="A84" s="27"/>
      <c r="B84" s="26" t="s">
        <v>181</v>
      </c>
      <c r="C84" s="26" t="s">
        <v>335</v>
      </c>
      <c r="D84" s="12">
        <v>60006593566</v>
      </c>
      <c r="E84" s="30" t="s">
        <v>182</v>
      </c>
      <c r="F84" s="8">
        <f>102.21/2</f>
        <v>51.105</v>
      </c>
      <c r="G84" s="8">
        <f>3.03/2</f>
        <v>1.515</v>
      </c>
      <c r="H84" s="8">
        <f>0.08/2</f>
        <v>0.04</v>
      </c>
      <c r="I84" s="9">
        <f t="shared" si="1"/>
        <v>52.66</v>
      </c>
      <c r="J84" s="19"/>
      <c r="K84" s="19"/>
      <c r="L84" s="19"/>
      <c r="M84" s="19"/>
      <c r="N84" s="19"/>
      <c r="O84" s="19"/>
    </row>
    <row r="85" spans="1:15" ht="21" customHeight="1">
      <c r="A85" s="27"/>
      <c r="B85" s="26" t="s">
        <v>183</v>
      </c>
      <c r="C85" s="26" t="s">
        <v>336</v>
      </c>
      <c r="D85" s="12">
        <v>60006601563</v>
      </c>
      <c r="E85" s="30" t="s">
        <v>184</v>
      </c>
      <c r="F85" s="8">
        <f>33.54+28.204</f>
        <v>61.744</v>
      </c>
      <c r="G85" s="8">
        <f>1.03+0.826</f>
        <v>1.8559999999999999</v>
      </c>
      <c r="H85" s="8">
        <f>0+0.046</f>
        <v>0.046</v>
      </c>
      <c r="I85" s="9">
        <f t="shared" si="1"/>
        <v>63.646</v>
      </c>
      <c r="J85" s="19"/>
      <c r="K85" s="19"/>
      <c r="L85" s="19"/>
      <c r="M85" s="19"/>
      <c r="N85" s="19"/>
      <c r="O85" s="19"/>
    </row>
    <row r="86" spans="1:15" s="20" customFormat="1" ht="21" customHeight="1">
      <c r="A86" s="27"/>
      <c r="B86" s="26" t="s">
        <v>185</v>
      </c>
      <c r="C86" s="26" t="s">
        <v>310</v>
      </c>
      <c r="D86" s="12">
        <v>60006630551</v>
      </c>
      <c r="E86" s="30" t="s">
        <v>186</v>
      </c>
      <c r="F86" s="8">
        <f>167.92/2</f>
        <v>83.96</v>
      </c>
      <c r="G86" s="8">
        <f>4.95/2</f>
        <v>2.475</v>
      </c>
      <c r="H86" s="8">
        <f>0.21/2</f>
        <v>0.105</v>
      </c>
      <c r="I86" s="9">
        <f t="shared" si="1"/>
        <v>86.53999999999999</v>
      </c>
      <c r="J86" s="19"/>
      <c r="K86" s="19"/>
      <c r="L86" s="19"/>
      <c r="M86" s="19"/>
      <c r="N86" s="19"/>
      <c r="O86" s="19"/>
    </row>
    <row r="87" spans="1:15" s="29" customFormat="1" ht="21" customHeight="1">
      <c r="A87" s="27"/>
      <c r="B87" s="26" t="s">
        <v>187</v>
      </c>
      <c r="C87" s="26" t="s">
        <v>287</v>
      </c>
      <c r="D87" s="12">
        <v>60006631759</v>
      </c>
      <c r="E87" s="30" t="s">
        <v>188</v>
      </c>
      <c r="F87" s="8">
        <f>104.17/2</f>
        <v>52.085</v>
      </c>
      <c r="G87" s="8">
        <f>3.09/2</f>
        <v>1.545</v>
      </c>
      <c r="H87" s="8">
        <f>0.08/2</f>
        <v>0.04</v>
      </c>
      <c r="I87" s="9">
        <f t="shared" si="1"/>
        <v>53.67</v>
      </c>
      <c r="J87" s="19"/>
      <c r="K87" s="19"/>
      <c r="L87" s="19"/>
      <c r="M87" s="19"/>
      <c r="N87" s="19"/>
      <c r="O87" s="19"/>
    </row>
    <row r="88" spans="1:15" s="29" customFormat="1" ht="21" customHeight="1">
      <c r="A88" s="27"/>
      <c r="B88" s="26" t="s">
        <v>189</v>
      </c>
      <c r="C88" s="26" t="s">
        <v>339</v>
      </c>
      <c r="D88" s="12">
        <v>60006631974</v>
      </c>
      <c r="E88" s="30" t="s">
        <v>190</v>
      </c>
      <c r="F88" s="8">
        <v>103.83</v>
      </c>
      <c r="G88" s="8">
        <v>3.09</v>
      </c>
      <c r="H88" s="8">
        <v>0.05</v>
      </c>
      <c r="I88" s="9">
        <f t="shared" si="1"/>
        <v>106.97</v>
      </c>
      <c r="J88" s="19"/>
      <c r="K88" s="19"/>
      <c r="L88" s="19"/>
      <c r="M88" s="19"/>
      <c r="N88" s="19"/>
      <c r="O88" s="19"/>
    </row>
    <row r="89" spans="1:15" ht="21" customHeight="1">
      <c r="A89" s="27"/>
      <c r="B89" s="26" t="s">
        <v>191</v>
      </c>
      <c r="C89" s="26" t="s">
        <v>356</v>
      </c>
      <c r="D89" s="12">
        <v>60007843337</v>
      </c>
      <c r="E89" s="30" t="s">
        <v>192</v>
      </c>
      <c r="F89" s="8">
        <f>120.33/2</f>
        <v>60.165</v>
      </c>
      <c r="G89" s="8">
        <f>3.58/2</f>
        <v>1.79</v>
      </c>
      <c r="H89" s="8">
        <f>0.08/2</f>
        <v>0.04</v>
      </c>
      <c r="I89" s="9">
        <f t="shared" si="1"/>
        <v>61.995</v>
      </c>
      <c r="J89" s="19"/>
      <c r="K89" s="19"/>
      <c r="L89" s="19"/>
      <c r="M89" s="19"/>
      <c r="N89" s="19"/>
      <c r="O89" s="19"/>
    </row>
    <row r="90" spans="1:15" ht="21" customHeight="1">
      <c r="A90" s="27"/>
      <c r="B90" s="26" t="s">
        <v>193</v>
      </c>
      <c r="C90" s="26" t="s">
        <v>305</v>
      </c>
      <c r="D90" s="12">
        <v>60006631992</v>
      </c>
      <c r="E90" s="30" t="s">
        <v>194</v>
      </c>
      <c r="F90" s="8">
        <v>169.81</v>
      </c>
      <c r="G90" s="8">
        <v>5.06</v>
      </c>
      <c r="H90" s="8">
        <v>0.09</v>
      </c>
      <c r="I90" s="9">
        <f t="shared" si="1"/>
        <v>174.96</v>
      </c>
      <c r="J90" s="19"/>
      <c r="K90" s="19"/>
      <c r="L90" s="19"/>
      <c r="M90" s="19"/>
      <c r="N90" s="19"/>
      <c r="O90" s="19"/>
    </row>
    <row r="91" spans="1:15" ht="21" customHeight="1">
      <c r="A91" s="27"/>
      <c r="B91" s="26" t="s">
        <v>195</v>
      </c>
      <c r="C91" s="26" t="s">
        <v>341</v>
      </c>
      <c r="D91" s="12">
        <v>60006632013</v>
      </c>
      <c r="E91" s="30" t="s">
        <v>196</v>
      </c>
      <c r="F91" s="8">
        <v>10.49</v>
      </c>
      <c r="G91" s="8">
        <v>0.3</v>
      </c>
      <c r="H91" s="8">
        <v>0.04</v>
      </c>
      <c r="I91" s="9">
        <f t="shared" si="1"/>
        <v>10.83</v>
      </c>
      <c r="J91" s="19"/>
      <c r="K91" s="19"/>
      <c r="L91" s="19"/>
      <c r="M91" s="19"/>
      <c r="N91" s="19"/>
      <c r="O91" s="19"/>
    </row>
    <row r="92" spans="1:15" ht="21" customHeight="1">
      <c r="A92" s="27"/>
      <c r="B92" s="26" t="s">
        <v>197</v>
      </c>
      <c r="C92" s="26" t="s">
        <v>288</v>
      </c>
      <c r="D92" s="12">
        <v>60006632028</v>
      </c>
      <c r="E92" s="30" t="s">
        <v>198</v>
      </c>
      <c r="F92" s="8">
        <v>231.19</v>
      </c>
      <c r="G92" s="8">
        <v>6.9</v>
      </c>
      <c r="H92" s="8">
        <v>0.09</v>
      </c>
      <c r="I92" s="9">
        <f t="shared" si="1"/>
        <v>238.18</v>
      </c>
      <c r="J92" s="19"/>
      <c r="K92" s="19"/>
      <c r="L92" s="19"/>
      <c r="M92" s="19"/>
      <c r="N92" s="19"/>
      <c r="O92" s="19"/>
    </row>
    <row r="93" spans="1:15" ht="21" customHeight="1">
      <c r="A93" s="27"/>
      <c r="B93" s="26" t="s">
        <v>199</v>
      </c>
      <c r="C93" s="26" t="s">
        <v>342</v>
      </c>
      <c r="D93" s="12">
        <v>60006632034</v>
      </c>
      <c r="E93" s="30" t="s">
        <v>200</v>
      </c>
      <c r="F93" s="8">
        <v>25.93</v>
      </c>
      <c r="G93" s="8">
        <v>0.75</v>
      </c>
      <c r="H93" s="8">
        <v>0.06</v>
      </c>
      <c r="I93" s="9">
        <f t="shared" si="1"/>
        <v>26.74</v>
      </c>
      <c r="J93" s="19"/>
      <c r="K93" s="19"/>
      <c r="L93" s="19"/>
      <c r="M93" s="19"/>
      <c r="N93" s="19"/>
      <c r="O93" s="19"/>
    </row>
    <row r="94" spans="1:15" ht="21" customHeight="1">
      <c r="A94" s="27"/>
      <c r="B94" s="26" t="s">
        <v>201</v>
      </c>
      <c r="C94" s="26" t="s">
        <v>343</v>
      </c>
      <c r="D94" s="12">
        <v>60006637176</v>
      </c>
      <c r="E94" s="30" t="s">
        <v>202</v>
      </c>
      <c r="F94" s="8">
        <f>44.81/2</f>
        <v>22.405</v>
      </c>
      <c r="G94" s="8">
        <f>1.31/2</f>
        <v>0.655</v>
      </c>
      <c r="H94" s="8">
        <f>0.08/2</f>
        <v>0.04</v>
      </c>
      <c r="I94" s="9">
        <f t="shared" si="1"/>
        <v>23.1</v>
      </c>
      <c r="J94" s="19"/>
      <c r="K94" s="19"/>
      <c r="L94" s="19"/>
      <c r="M94" s="19"/>
      <c r="N94" s="19"/>
      <c r="O94" s="19"/>
    </row>
    <row r="95" spans="1:15" ht="21" customHeight="1">
      <c r="A95" s="27"/>
      <c r="B95" s="26" t="s">
        <v>203</v>
      </c>
      <c r="C95" s="93"/>
      <c r="D95" s="12">
        <v>60006637235</v>
      </c>
      <c r="E95" s="30" t="s">
        <v>204</v>
      </c>
      <c r="F95" s="8">
        <f>24.08/2</f>
        <v>12.04</v>
      </c>
      <c r="G95" s="8">
        <f>0.69/2</f>
        <v>0.345</v>
      </c>
      <c r="H95" s="8">
        <f>0.08/2</f>
        <v>0.04</v>
      </c>
      <c r="I95" s="9">
        <f t="shared" si="1"/>
        <v>12.424999999999999</v>
      </c>
      <c r="J95" s="19"/>
      <c r="K95" s="19"/>
      <c r="L95" s="19"/>
      <c r="M95" s="19"/>
      <c r="N95" s="19"/>
      <c r="O95" s="19"/>
    </row>
    <row r="96" spans="1:15" ht="21" customHeight="1">
      <c r="A96" s="27"/>
      <c r="B96" s="26" t="s">
        <v>205</v>
      </c>
      <c r="C96" s="26" t="s">
        <v>306</v>
      </c>
      <c r="D96" s="12">
        <v>60006637714</v>
      </c>
      <c r="E96" s="30" t="s">
        <v>206</v>
      </c>
      <c r="F96" s="8">
        <f>65.25/2</f>
        <v>32.625</v>
      </c>
      <c r="G96" s="8">
        <f>1.86/2</f>
        <v>0.93</v>
      </c>
      <c r="H96" s="8">
        <f>0.22/2</f>
        <v>0.11</v>
      </c>
      <c r="I96" s="9">
        <f t="shared" si="1"/>
        <v>33.665</v>
      </c>
      <c r="J96" s="19"/>
      <c r="K96" s="19"/>
      <c r="L96" s="19"/>
      <c r="M96" s="19"/>
      <c r="N96" s="19"/>
      <c r="O96" s="19"/>
    </row>
    <row r="97" spans="1:9" ht="21" customHeight="1">
      <c r="A97" s="27"/>
      <c r="B97" s="26" t="s">
        <v>207</v>
      </c>
      <c r="C97" s="93"/>
      <c r="D97" s="12">
        <v>60006642108</v>
      </c>
      <c r="E97" s="30" t="s">
        <v>208</v>
      </c>
      <c r="F97" s="8">
        <f>24.08/2</f>
        <v>12.04</v>
      </c>
      <c r="G97" s="8">
        <f>0.69/2</f>
        <v>0.345</v>
      </c>
      <c r="H97" s="8">
        <f>0.08/2</f>
        <v>0.04</v>
      </c>
      <c r="I97" s="9">
        <f t="shared" si="1"/>
        <v>12.424999999999999</v>
      </c>
    </row>
    <row r="98" spans="1:9" ht="21" customHeight="1">
      <c r="A98" s="27"/>
      <c r="B98" s="26" t="s">
        <v>209</v>
      </c>
      <c r="C98" s="93"/>
      <c r="D98" s="12">
        <v>60006642114</v>
      </c>
      <c r="E98" s="30" t="s">
        <v>210</v>
      </c>
      <c r="F98" s="8">
        <f>24.08/2</f>
        <v>12.04</v>
      </c>
      <c r="G98" s="8">
        <f>0.69/2</f>
        <v>0.345</v>
      </c>
      <c r="H98" s="8">
        <f>0.08/2</f>
        <v>0.04</v>
      </c>
      <c r="I98" s="9">
        <f t="shared" si="1"/>
        <v>12.424999999999999</v>
      </c>
    </row>
    <row r="99" spans="1:9" ht="21" customHeight="1">
      <c r="A99" s="27"/>
      <c r="B99" s="26" t="s">
        <v>211</v>
      </c>
      <c r="C99" s="26" t="s">
        <v>290</v>
      </c>
      <c r="D99" s="12">
        <v>60006644426</v>
      </c>
      <c r="E99" s="30" t="s">
        <v>212</v>
      </c>
      <c r="F99" s="8">
        <v>48.87</v>
      </c>
      <c r="G99" s="8">
        <v>1.44</v>
      </c>
      <c r="H99" s="8">
        <v>0.06</v>
      </c>
      <c r="I99" s="9">
        <f t="shared" si="1"/>
        <v>50.37</v>
      </c>
    </row>
    <row r="100" spans="1:9" ht="21" customHeight="1">
      <c r="A100" s="27"/>
      <c r="B100" s="26" t="s">
        <v>213</v>
      </c>
      <c r="C100" s="93"/>
      <c r="D100" s="12">
        <v>60006644431</v>
      </c>
      <c r="E100" s="30" t="s">
        <v>214</v>
      </c>
      <c r="F100" s="8">
        <v>57.15</v>
      </c>
      <c r="G100" s="8">
        <v>1.69</v>
      </c>
      <c r="H100" s="8">
        <v>0.06</v>
      </c>
      <c r="I100" s="9">
        <f t="shared" si="1"/>
        <v>58.9</v>
      </c>
    </row>
    <row r="101" spans="1:9" ht="21" customHeight="1">
      <c r="A101" s="27"/>
      <c r="B101" s="26" t="s">
        <v>215</v>
      </c>
      <c r="C101" s="26" t="s">
        <v>344</v>
      </c>
      <c r="D101" s="12">
        <v>60006644654</v>
      </c>
      <c r="E101" s="30" t="s">
        <v>216</v>
      </c>
      <c r="F101" s="18">
        <f>37.92/2</f>
        <v>18.96</v>
      </c>
      <c r="G101" s="18">
        <f>1.1/2</f>
        <v>0.55</v>
      </c>
      <c r="H101" s="18">
        <f>0.08/2</f>
        <v>0.04</v>
      </c>
      <c r="I101" s="87">
        <f t="shared" si="1"/>
        <v>19.55</v>
      </c>
    </row>
    <row r="102" spans="1:9" ht="21" customHeight="1">
      <c r="A102" s="27"/>
      <c r="B102" s="26" t="s">
        <v>217</v>
      </c>
      <c r="C102" s="93"/>
      <c r="D102" s="12">
        <v>60007182237</v>
      </c>
      <c r="E102" s="30" t="s">
        <v>218</v>
      </c>
      <c r="F102" s="8">
        <f>23.99/2</f>
        <v>11.995</v>
      </c>
      <c r="G102" s="8">
        <f>0.71/2</f>
        <v>0.355</v>
      </c>
      <c r="H102" s="8">
        <f>0.03/2</f>
        <v>0.015</v>
      </c>
      <c r="I102" s="9">
        <f t="shared" si="1"/>
        <v>12.365</v>
      </c>
    </row>
    <row r="103" spans="1:9" ht="21" customHeight="1">
      <c r="A103" s="27"/>
      <c r="B103" s="26" t="s">
        <v>219</v>
      </c>
      <c r="C103" s="26" t="s">
        <v>354</v>
      </c>
      <c r="D103" s="12">
        <v>60007843211</v>
      </c>
      <c r="E103" s="30" t="s">
        <v>220</v>
      </c>
      <c r="F103" s="8">
        <v>25.57</v>
      </c>
      <c r="G103" s="8">
        <v>0.74</v>
      </c>
      <c r="H103" s="8">
        <v>0.06</v>
      </c>
      <c r="I103" s="9">
        <f t="shared" si="1"/>
        <v>26.369999999999997</v>
      </c>
    </row>
    <row r="104" spans="1:9" ht="21" customHeight="1">
      <c r="A104" s="27"/>
      <c r="B104" s="26" t="s">
        <v>221</v>
      </c>
      <c r="C104" s="26" t="s">
        <v>355</v>
      </c>
      <c r="D104" s="12">
        <v>60007843225</v>
      </c>
      <c r="E104" s="30" t="s">
        <v>222</v>
      </c>
      <c r="F104" s="8">
        <v>10.55</v>
      </c>
      <c r="G104" s="8">
        <v>0.29</v>
      </c>
      <c r="H104" s="8">
        <v>0.06</v>
      </c>
      <c r="I104" s="9">
        <f t="shared" si="1"/>
        <v>10.9</v>
      </c>
    </row>
    <row r="105" spans="1:9" ht="21" customHeight="1">
      <c r="A105" s="27"/>
      <c r="B105" s="26" t="s">
        <v>223</v>
      </c>
      <c r="C105" s="26" t="s">
        <v>347</v>
      </c>
      <c r="D105" s="12">
        <v>60007211343</v>
      </c>
      <c r="E105" s="30" t="s">
        <v>224</v>
      </c>
      <c r="F105" s="8">
        <f>11.03/2</f>
        <v>5.515</v>
      </c>
      <c r="G105" s="8">
        <f>0.33/2</f>
        <v>0.165</v>
      </c>
      <c r="H105" s="8">
        <v>0</v>
      </c>
      <c r="I105" s="9">
        <f t="shared" si="1"/>
        <v>5.68</v>
      </c>
    </row>
    <row r="106" spans="1:9" ht="21" customHeight="1">
      <c r="A106" s="27"/>
      <c r="B106" s="26" t="s">
        <v>225</v>
      </c>
      <c r="C106" s="26" t="s">
        <v>346</v>
      </c>
      <c r="D106" s="12">
        <v>60007211339</v>
      </c>
      <c r="E106" s="30" t="s">
        <v>226</v>
      </c>
      <c r="F106" s="8">
        <f>90.59/2</f>
        <v>45.295</v>
      </c>
      <c r="G106" s="8">
        <f>2.62/2</f>
        <v>1.31</v>
      </c>
      <c r="H106" s="8">
        <f>0.22/2</f>
        <v>0.11</v>
      </c>
      <c r="I106" s="9">
        <f t="shared" si="1"/>
        <v>46.715</v>
      </c>
    </row>
    <row r="107" spans="1:9" ht="21" customHeight="1">
      <c r="A107" s="27"/>
      <c r="B107" s="26" t="s">
        <v>227</v>
      </c>
      <c r="C107" s="26" t="s">
        <v>291</v>
      </c>
      <c r="D107" s="12">
        <v>60007239731</v>
      </c>
      <c r="E107" s="30" t="s">
        <v>228</v>
      </c>
      <c r="F107" s="8">
        <f>257.61/2</f>
        <v>128.805</v>
      </c>
      <c r="G107" s="8">
        <f>7.69/2</f>
        <v>3.845</v>
      </c>
      <c r="H107" s="8">
        <f>0.08/2</f>
        <v>0.04</v>
      </c>
      <c r="I107" s="9">
        <f t="shared" si="1"/>
        <v>132.69</v>
      </c>
    </row>
    <row r="108" spans="1:9" ht="21" customHeight="1">
      <c r="A108" s="27"/>
      <c r="B108" s="26" t="s">
        <v>229</v>
      </c>
      <c r="C108" s="26" t="s">
        <v>348</v>
      </c>
      <c r="D108" s="12">
        <v>60007483419</v>
      </c>
      <c r="E108" s="30" t="s">
        <v>230</v>
      </c>
      <c r="F108" s="8">
        <f>81.25/2</f>
        <v>40.625</v>
      </c>
      <c r="G108" s="8">
        <f>2.4/2</f>
        <v>1.2</v>
      </c>
      <c r="H108" s="8">
        <f>0.08/2</f>
        <v>0.04</v>
      </c>
      <c r="I108" s="9">
        <f t="shared" si="1"/>
        <v>41.865</v>
      </c>
    </row>
    <row r="109" spans="1:9" ht="21" customHeight="1">
      <c r="A109" s="27"/>
      <c r="B109" s="26" t="s">
        <v>231</v>
      </c>
      <c r="C109" s="26" t="s">
        <v>301</v>
      </c>
      <c r="D109" s="12">
        <v>60006579638</v>
      </c>
      <c r="E109" s="30" t="s">
        <v>232</v>
      </c>
      <c r="F109" s="8">
        <v>11.14</v>
      </c>
      <c r="G109" s="8">
        <v>0.31</v>
      </c>
      <c r="H109" s="8">
        <v>0.06</v>
      </c>
      <c r="I109" s="9">
        <f t="shared" si="1"/>
        <v>11.510000000000002</v>
      </c>
    </row>
    <row r="110" spans="1:9" ht="21" customHeight="1">
      <c r="A110" s="27"/>
      <c r="B110" s="26" t="s">
        <v>233</v>
      </c>
      <c r="C110" s="26" t="s">
        <v>349</v>
      </c>
      <c r="D110" s="12">
        <v>60006579657</v>
      </c>
      <c r="E110" s="30" t="s">
        <v>234</v>
      </c>
      <c r="F110" s="8">
        <v>79.08</v>
      </c>
      <c r="G110" s="8">
        <v>2.35</v>
      </c>
      <c r="H110" s="8">
        <v>0.06</v>
      </c>
      <c r="I110" s="9">
        <f t="shared" si="1"/>
        <v>81.49</v>
      </c>
    </row>
    <row r="111" spans="1:9" ht="21" customHeight="1">
      <c r="A111" s="27"/>
      <c r="B111" s="26" t="s">
        <v>235</v>
      </c>
      <c r="C111" s="93"/>
      <c r="D111" s="12">
        <v>60006579676</v>
      </c>
      <c r="E111" s="30" t="s">
        <v>236</v>
      </c>
      <c r="F111" s="8">
        <v>13.4</v>
      </c>
      <c r="G111" s="8">
        <v>0.38</v>
      </c>
      <c r="H111" s="8">
        <v>0.06</v>
      </c>
      <c r="I111" s="9">
        <f t="shared" si="1"/>
        <v>13.840000000000002</v>
      </c>
    </row>
    <row r="112" spans="1:9" ht="21" customHeight="1">
      <c r="A112" s="27"/>
      <c r="B112" s="26" t="s">
        <v>237</v>
      </c>
      <c r="C112" s="26" t="s">
        <v>351</v>
      </c>
      <c r="D112" s="12">
        <v>60007631681</v>
      </c>
      <c r="E112" s="30" t="s">
        <v>238</v>
      </c>
      <c r="F112" s="8">
        <v>12.88</v>
      </c>
      <c r="G112" s="8">
        <v>0.36</v>
      </c>
      <c r="H112" s="8">
        <v>0.06</v>
      </c>
      <c r="I112" s="9">
        <f t="shared" si="1"/>
        <v>13.3</v>
      </c>
    </row>
    <row r="113" spans="1:9" ht="21" customHeight="1">
      <c r="A113" s="27"/>
      <c r="B113" s="26" t="s">
        <v>239</v>
      </c>
      <c r="C113" s="26" t="s">
        <v>357</v>
      </c>
      <c r="D113" s="12">
        <v>60007848373</v>
      </c>
      <c r="E113" s="30" t="s">
        <v>240</v>
      </c>
      <c r="F113" s="8">
        <f>221.27/2</f>
        <v>110.635</v>
      </c>
      <c r="G113" s="8">
        <f>6.54/2</f>
        <v>3.27</v>
      </c>
      <c r="H113" s="8">
        <f>0.22/2</f>
        <v>0.11</v>
      </c>
      <c r="I113" s="9">
        <f t="shared" si="1"/>
        <v>114.015</v>
      </c>
    </row>
    <row r="114" spans="1:9" ht="21" customHeight="1">
      <c r="A114" s="27"/>
      <c r="B114" s="26" t="s">
        <v>241</v>
      </c>
      <c r="C114" s="26" t="s">
        <v>338</v>
      </c>
      <c r="D114" s="12">
        <v>60006631880</v>
      </c>
      <c r="E114" s="30" t="s">
        <v>242</v>
      </c>
      <c r="F114" s="8">
        <f>57.73/2</f>
        <v>28.865</v>
      </c>
      <c r="G114" s="8">
        <f>1.7/2</f>
        <v>0.85</v>
      </c>
      <c r="H114" s="8">
        <f>0.08/2</f>
        <v>0.04</v>
      </c>
      <c r="I114" s="9">
        <f t="shared" si="1"/>
        <v>29.755</v>
      </c>
    </row>
    <row r="115" spans="1:9" ht="21" customHeight="1">
      <c r="A115" s="27"/>
      <c r="B115" s="26" t="s">
        <v>243</v>
      </c>
      <c r="C115" s="26" t="s">
        <v>320</v>
      </c>
      <c r="D115" s="12">
        <v>60006631920</v>
      </c>
      <c r="E115" s="30" t="s">
        <v>244</v>
      </c>
      <c r="F115" s="8">
        <f>114.65/2</f>
        <v>57.325</v>
      </c>
      <c r="G115" s="8">
        <f>3.38/2</f>
        <v>1.69</v>
      </c>
      <c r="H115" s="8">
        <f>0.14/2</f>
        <v>0.07</v>
      </c>
      <c r="I115" s="9">
        <f t="shared" si="1"/>
        <v>59.085</v>
      </c>
    </row>
    <row r="116" spans="1:9" ht="21" customHeight="1">
      <c r="A116" s="27"/>
      <c r="B116" s="26" t="s">
        <v>245</v>
      </c>
      <c r="C116" s="26" t="s">
        <v>340</v>
      </c>
      <c r="D116" s="12">
        <v>60006631987</v>
      </c>
      <c r="E116" s="30" t="s">
        <v>246</v>
      </c>
      <c r="F116" s="8">
        <f>501.02/2</f>
        <v>250.51</v>
      </c>
      <c r="G116" s="8">
        <f>14.94/2</f>
        <v>7.47</v>
      </c>
      <c r="H116" s="8">
        <f>0.21/2</f>
        <v>0.105</v>
      </c>
      <c r="I116" s="9">
        <f t="shared" si="1"/>
        <v>258.08500000000004</v>
      </c>
    </row>
    <row r="117" spans="1:9" ht="21" customHeight="1">
      <c r="A117" s="27"/>
      <c r="B117" s="26" t="s">
        <v>247</v>
      </c>
      <c r="C117" s="26" t="s">
        <v>373</v>
      </c>
      <c r="D117" s="12">
        <v>60006632009</v>
      </c>
      <c r="E117" s="30" t="s">
        <v>248</v>
      </c>
      <c r="F117" s="8">
        <v>172.49</v>
      </c>
      <c r="G117" s="8">
        <v>5.14</v>
      </c>
      <c r="H117" s="8">
        <v>0.09</v>
      </c>
      <c r="I117" s="9">
        <f t="shared" si="1"/>
        <v>177.72</v>
      </c>
    </row>
    <row r="118" spans="1:9" ht="21" customHeight="1">
      <c r="A118" s="27"/>
      <c r="B118" s="26" t="s">
        <v>249</v>
      </c>
      <c r="C118" s="26" t="s">
        <v>350</v>
      </c>
      <c r="D118" s="12">
        <v>60007611240</v>
      </c>
      <c r="E118" s="30" t="s">
        <v>250</v>
      </c>
      <c r="F118" s="8">
        <f>353.57/2</f>
        <v>176.785</v>
      </c>
      <c r="G118" s="8">
        <f>10.58/2</f>
        <v>5.29</v>
      </c>
      <c r="H118" s="8">
        <f>0.06/2</f>
        <v>0.03</v>
      </c>
      <c r="I118" s="9">
        <f t="shared" si="1"/>
        <v>182.105</v>
      </c>
    </row>
    <row r="119" spans="1:9" ht="21" customHeight="1">
      <c r="A119" s="27"/>
      <c r="B119" s="26" t="s">
        <v>251</v>
      </c>
      <c r="C119" s="26" t="s">
        <v>337</v>
      </c>
      <c r="D119" s="12">
        <v>60006613294</v>
      </c>
      <c r="E119" s="30" t="s">
        <v>252</v>
      </c>
      <c r="F119" s="8">
        <f>75.65/2</f>
        <v>37.825</v>
      </c>
      <c r="G119" s="8">
        <f>2.27/2</f>
        <v>1.135</v>
      </c>
      <c r="H119" s="8">
        <v>0</v>
      </c>
      <c r="I119" s="9">
        <f t="shared" si="1"/>
        <v>38.96</v>
      </c>
    </row>
    <row r="120" spans="1:9" ht="21" customHeight="1">
      <c r="A120" s="27"/>
      <c r="B120" s="26" t="s">
        <v>253</v>
      </c>
      <c r="C120" s="26" t="s">
        <v>303</v>
      </c>
      <c r="D120" s="12">
        <v>60006631725</v>
      </c>
      <c r="E120" s="30" t="s">
        <v>254</v>
      </c>
      <c r="F120" s="8">
        <f>194.81/2</f>
        <v>97.405</v>
      </c>
      <c r="G120" s="8">
        <f>5.81/2</f>
        <v>2.905</v>
      </c>
      <c r="H120" s="8">
        <f>0.08/2</f>
        <v>0.04</v>
      </c>
      <c r="I120" s="9">
        <f aca="true" t="shared" si="2" ref="I120:I130">SUM(F120:H120)</f>
        <v>100.35000000000001</v>
      </c>
    </row>
    <row r="121" spans="1:9" ht="21" customHeight="1">
      <c r="A121" s="27"/>
      <c r="B121" s="26" t="s">
        <v>255</v>
      </c>
      <c r="C121" s="26" t="s">
        <v>304</v>
      </c>
      <c r="D121" s="12">
        <v>60006631818</v>
      </c>
      <c r="E121" s="30" t="s">
        <v>256</v>
      </c>
      <c r="F121" s="8">
        <f>13.57/2+12.11/2</f>
        <v>12.84</v>
      </c>
      <c r="G121" s="8">
        <f>0.38/2+0.34/2</f>
        <v>0.36</v>
      </c>
      <c r="H121" s="8">
        <f>0.06/2+0.06/2</f>
        <v>0.06</v>
      </c>
      <c r="I121" s="9">
        <f t="shared" si="2"/>
        <v>13.26</v>
      </c>
    </row>
    <row r="122" spans="1:9" ht="21" customHeight="1">
      <c r="A122" s="28"/>
      <c r="B122" s="25" t="s">
        <v>257</v>
      </c>
      <c r="C122" s="95"/>
      <c r="D122" s="14">
        <v>60006631824</v>
      </c>
      <c r="E122" s="45" t="s">
        <v>258</v>
      </c>
      <c r="F122" s="15">
        <f>968.72*0.5</f>
        <v>484.36</v>
      </c>
      <c r="G122" s="15">
        <f>28.98*0.5</f>
        <v>14.49</v>
      </c>
      <c r="H122" s="15">
        <f>0.2*0.5</f>
        <v>0.1</v>
      </c>
      <c r="I122" s="9">
        <f t="shared" si="2"/>
        <v>498.95000000000005</v>
      </c>
    </row>
    <row r="123" spans="1:9" ht="21" customHeight="1">
      <c r="A123" s="28"/>
      <c r="B123" s="25" t="s">
        <v>259</v>
      </c>
      <c r="C123" s="25" t="s">
        <v>345</v>
      </c>
      <c r="D123" s="14">
        <v>60006872372</v>
      </c>
      <c r="E123" s="45" t="s">
        <v>260</v>
      </c>
      <c r="F123" s="15">
        <v>21.42</v>
      </c>
      <c r="G123" s="15">
        <v>0.62</v>
      </c>
      <c r="H123" s="15">
        <v>0.06</v>
      </c>
      <c r="I123" s="9">
        <f t="shared" si="2"/>
        <v>22.1</v>
      </c>
    </row>
    <row r="124" spans="1:9" ht="21" customHeight="1">
      <c r="A124" s="28"/>
      <c r="B124" s="25" t="s">
        <v>261</v>
      </c>
      <c r="C124" s="25" t="s">
        <v>321</v>
      </c>
      <c r="D124" s="14">
        <v>60006974384</v>
      </c>
      <c r="E124" s="45" t="s">
        <v>262</v>
      </c>
      <c r="F124" s="15">
        <f>105.5/2</f>
        <v>52.75</v>
      </c>
      <c r="G124" s="15">
        <f>3.13/2</f>
        <v>1.565</v>
      </c>
      <c r="H124" s="15">
        <f>0.08/2</f>
        <v>0.04</v>
      </c>
      <c r="I124" s="9">
        <f t="shared" si="2"/>
        <v>54.355</v>
      </c>
    </row>
    <row r="125" spans="1:9" ht="21" customHeight="1">
      <c r="A125" s="28"/>
      <c r="B125" s="25" t="s">
        <v>263</v>
      </c>
      <c r="C125" s="25" t="s">
        <v>368</v>
      </c>
      <c r="D125" s="14">
        <v>60006581324</v>
      </c>
      <c r="E125" s="45" t="s">
        <v>264</v>
      </c>
      <c r="F125" s="15">
        <v>364.05</v>
      </c>
      <c r="G125" s="15">
        <v>10.88</v>
      </c>
      <c r="H125" s="15">
        <v>0.09</v>
      </c>
      <c r="I125" s="9">
        <f t="shared" si="2"/>
        <v>375.02</v>
      </c>
    </row>
    <row r="126" spans="1:9" ht="21" customHeight="1">
      <c r="A126" s="28"/>
      <c r="B126" s="25" t="s">
        <v>265</v>
      </c>
      <c r="C126" s="25" t="s">
        <v>352</v>
      </c>
      <c r="D126" s="14">
        <v>60007651627</v>
      </c>
      <c r="E126" s="45" t="s">
        <v>266</v>
      </c>
      <c r="F126" s="15">
        <v>14.13</v>
      </c>
      <c r="G126" s="15">
        <v>0.4</v>
      </c>
      <c r="H126" s="15">
        <v>0.06</v>
      </c>
      <c r="I126" s="9">
        <f t="shared" si="2"/>
        <v>14.590000000000002</v>
      </c>
    </row>
    <row r="127" spans="1:9" ht="21" customHeight="1">
      <c r="A127" s="28"/>
      <c r="B127" s="25" t="s">
        <v>267</v>
      </c>
      <c r="C127" s="95"/>
      <c r="D127" s="14">
        <v>83007351147</v>
      </c>
      <c r="E127" s="45" t="s">
        <v>268</v>
      </c>
      <c r="F127" s="15">
        <v>14.02</v>
      </c>
      <c r="G127" s="15">
        <v>0.4</v>
      </c>
      <c r="H127" s="15">
        <v>0.06</v>
      </c>
      <c r="I127" s="9">
        <f t="shared" si="2"/>
        <v>14.48</v>
      </c>
    </row>
    <row r="128" spans="1:9" ht="21" customHeight="1">
      <c r="A128" s="28"/>
      <c r="B128" s="25" t="s">
        <v>269</v>
      </c>
      <c r="C128" s="25"/>
      <c r="D128" s="14">
        <v>83007705623</v>
      </c>
      <c r="E128" s="45" t="s">
        <v>270</v>
      </c>
      <c r="F128" s="15">
        <v>19.09</v>
      </c>
      <c r="G128" s="15">
        <v>0.55</v>
      </c>
      <c r="H128" s="15">
        <v>0.06</v>
      </c>
      <c r="I128" s="9">
        <f t="shared" si="2"/>
        <v>19.7</v>
      </c>
    </row>
    <row r="129" spans="1:9" ht="21" customHeight="1">
      <c r="A129" s="28"/>
      <c r="B129" s="25" t="s">
        <v>271</v>
      </c>
      <c r="C129" s="25"/>
      <c r="D129" s="14">
        <v>83007812488</v>
      </c>
      <c r="E129" s="45" t="s">
        <v>272</v>
      </c>
      <c r="F129" s="15">
        <v>53.41</v>
      </c>
      <c r="G129" s="15">
        <v>1.58</v>
      </c>
      <c r="H129" s="15">
        <v>0.06</v>
      </c>
      <c r="I129" s="9">
        <f t="shared" si="2"/>
        <v>55.05</v>
      </c>
    </row>
    <row r="130" spans="1:9" ht="21" customHeight="1">
      <c r="A130" s="28"/>
      <c r="B130" s="25" t="s">
        <v>273</v>
      </c>
      <c r="C130" s="25"/>
      <c r="D130" s="14">
        <v>83007946440</v>
      </c>
      <c r="E130" s="45" t="s">
        <v>274</v>
      </c>
      <c r="F130" s="15"/>
      <c r="G130" s="15"/>
      <c r="H130" s="15"/>
      <c r="I130" s="9">
        <f t="shared" si="2"/>
        <v>0</v>
      </c>
    </row>
    <row r="131" spans="1:9" ht="21" customHeight="1" thickBot="1">
      <c r="A131" s="10" t="s">
        <v>0</v>
      </c>
      <c r="B131" s="24"/>
      <c r="C131" s="24"/>
      <c r="D131" s="13"/>
      <c r="E131" s="13"/>
      <c r="F131" s="34"/>
      <c r="G131" s="34"/>
      <c r="H131" s="34"/>
      <c r="I131" s="38">
        <f>SUM(I8:I130)</f>
        <v>27544.11100000001</v>
      </c>
    </row>
    <row r="132" ht="13.5" thickTop="1"/>
  </sheetData>
  <sheetProtection/>
  <mergeCells count="3">
    <mergeCell ref="G2:I2"/>
    <mergeCell ref="G4:I4"/>
    <mergeCell ref="H3:I3"/>
  </mergeCells>
  <printOptions horizontalCentered="1"/>
  <pageMargins left="0.3937007874015748" right="0.3937007874015748" top="0.5905511811023623" bottom="0.5905511811023623" header="0" footer="0"/>
  <pageSetup fitToHeight="0" fitToWidth="1" horizontalDpi="600" verticalDpi="600" orientation="portrait" paperSize="9" scale="3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31"/>
  <sheetViews>
    <sheetView view="pageBreakPreview" zoomScaleSheetLayoutView="100" zoomScalePageLayoutView="0" workbookViewId="0" topLeftCell="A52">
      <selection activeCell="A54" sqref="A54:IV56"/>
    </sheetView>
  </sheetViews>
  <sheetFormatPr defaultColWidth="11.421875" defaultRowHeight="12.75"/>
  <cols>
    <col min="1" max="1" width="15.140625" style="1" customWidth="1"/>
    <col min="2" max="2" width="85.00390625" style="21" customWidth="1"/>
    <col min="3" max="3" width="103.28125" style="21" customWidth="1"/>
    <col min="4" max="4" width="22.7109375" style="1" customWidth="1"/>
    <col min="5" max="5" width="33.421875" style="1" hidden="1" customWidth="1"/>
    <col min="6" max="6" width="18.00390625" style="2" customWidth="1"/>
    <col min="7" max="7" width="22.421875" style="2" customWidth="1"/>
    <col min="8" max="8" width="21.421875" style="2" customWidth="1"/>
    <col min="9" max="9" width="17.00390625" style="1" customWidth="1"/>
    <col min="10" max="10" width="11.57421875" style="1" bestFit="1" customWidth="1"/>
    <col min="11" max="16384" width="11.421875" style="1" customWidth="1"/>
  </cols>
  <sheetData>
    <row r="1" spans="1:9" ht="15.75" customHeight="1">
      <c r="A1" s="52"/>
      <c r="B1" s="54"/>
      <c r="C1" s="54"/>
      <c r="F1" s="52"/>
      <c r="G1" s="52"/>
      <c r="H1" s="52"/>
      <c r="I1" s="52"/>
    </row>
    <row r="2" spans="1:9" ht="42.75" customHeight="1">
      <c r="A2" s="52"/>
      <c r="B2" s="54"/>
      <c r="C2" s="54"/>
      <c r="F2" s="101" t="s">
        <v>116</v>
      </c>
      <c r="G2" s="101"/>
      <c r="H2" s="101"/>
      <c r="I2" s="101"/>
    </row>
    <row r="3" spans="1:9" ht="33.75" customHeight="1">
      <c r="A3" s="52"/>
      <c r="B3" s="54"/>
      <c r="C3" s="54"/>
      <c r="F3" s="52"/>
      <c r="G3" s="100"/>
      <c r="H3" s="100"/>
      <c r="I3" s="100"/>
    </row>
    <row r="4" spans="1:9" ht="21.75" customHeight="1">
      <c r="A4" s="52"/>
      <c r="B4" s="54"/>
      <c r="C4" s="54"/>
      <c r="F4" s="99" t="s">
        <v>280</v>
      </c>
      <c r="G4" s="99"/>
      <c r="H4" s="99"/>
      <c r="I4" s="99"/>
    </row>
    <row r="5" spans="1:9" ht="15.75" customHeight="1">
      <c r="A5" s="52"/>
      <c r="B5" s="54"/>
      <c r="C5" s="54"/>
      <c r="F5" s="52"/>
      <c r="G5" s="52"/>
      <c r="H5" s="52"/>
      <c r="I5" s="52"/>
    </row>
    <row r="6" spans="1:9" ht="15.75" customHeight="1" thickBot="1">
      <c r="A6" s="55"/>
      <c r="B6" s="56"/>
      <c r="C6" s="56"/>
      <c r="D6" s="3"/>
      <c r="E6" s="3"/>
      <c r="F6" s="55"/>
      <c r="G6" s="55"/>
      <c r="H6" s="55"/>
      <c r="I6" s="52"/>
    </row>
    <row r="7" spans="1:9" ht="21" customHeight="1" thickTop="1">
      <c r="A7" s="57" t="s">
        <v>1</v>
      </c>
      <c r="B7" s="58" t="s">
        <v>3</v>
      </c>
      <c r="C7" s="23" t="s">
        <v>285</v>
      </c>
      <c r="D7" s="11" t="s">
        <v>2</v>
      </c>
      <c r="E7" s="11" t="s">
        <v>11</v>
      </c>
      <c r="F7" s="59" t="s">
        <v>4</v>
      </c>
      <c r="G7" s="59" t="s">
        <v>5</v>
      </c>
      <c r="H7" s="73" t="s">
        <v>13</v>
      </c>
      <c r="I7" s="53" t="s">
        <v>0</v>
      </c>
    </row>
    <row r="8" spans="1:9" ht="21" customHeight="1">
      <c r="A8" s="60"/>
      <c r="B8" s="72" t="s">
        <v>15</v>
      </c>
      <c r="C8" s="72" t="s">
        <v>316</v>
      </c>
      <c r="D8" s="12">
        <v>83006884161</v>
      </c>
      <c r="E8" s="30" t="s">
        <v>16</v>
      </c>
      <c r="F8" s="46">
        <v>95</v>
      </c>
      <c r="G8" s="46">
        <v>176</v>
      </c>
      <c r="H8" s="74">
        <v>89</v>
      </c>
      <c r="I8" s="51">
        <f>F8+G8+H8</f>
        <v>360</v>
      </c>
    </row>
    <row r="9" spans="1:9" ht="21" customHeight="1">
      <c r="A9" s="60"/>
      <c r="B9" s="26" t="s">
        <v>17</v>
      </c>
      <c r="C9" s="26" t="s">
        <v>314</v>
      </c>
      <c r="D9" s="12">
        <v>83001699293</v>
      </c>
      <c r="E9" s="30" t="s">
        <v>19</v>
      </c>
      <c r="F9" s="46">
        <v>1578.5</v>
      </c>
      <c r="G9" s="46">
        <v>0</v>
      </c>
      <c r="H9" s="74">
        <v>0</v>
      </c>
      <c r="I9" s="51">
        <f aca="true" t="shared" si="0" ref="I9:I59">F9+G9+H9</f>
        <v>1578.5</v>
      </c>
    </row>
    <row r="10" spans="1:9" ht="21" customHeight="1">
      <c r="A10" s="60"/>
      <c r="B10" s="26" t="s">
        <v>18</v>
      </c>
      <c r="C10" s="26" t="s">
        <v>324</v>
      </c>
      <c r="D10" s="12">
        <v>83002793469</v>
      </c>
      <c r="E10" s="30" t="s">
        <v>20</v>
      </c>
      <c r="F10" s="46">
        <v>294</v>
      </c>
      <c r="G10" s="46">
        <v>2774</v>
      </c>
      <c r="H10" s="74">
        <v>409</v>
      </c>
      <c r="I10" s="51">
        <f t="shared" si="0"/>
        <v>3477</v>
      </c>
    </row>
    <row r="11" spans="1:9" ht="21" customHeight="1">
      <c r="A11" s="60"/>
      <c r="B11" s="26" t="s">
        <v>21</v>
      </c>
      <c r="C11" s="26" t="s">
        <v>365</v>
      </c>
      <c r="D11" s="12">
        <v>83005319585</v>
      </c>
      <c r="E11" s="30" t="s">
        <v>22</v>
      </c>
      <c r="F11" s="46">
        <v>192</v>
      </c>
      <c r="G11" s="46">
        <v>507</v>
      </c>
      <c r="H11" s="74">
        <v>128</v>
      </c>
      <c r="I11" s="51">
        <f t="shared" si="0"/>
        <v>827</v>
      </c>
    </row>
    <row r="12" spans="1:9" ht="21" customHeight="1">
      <c r="A12" s="60"/>
      <c r="B12" s="26" t="s">
        <v>23</v>
      </c>
      <c r="C12" s="26" t="s">
        <v>325</v>
      </c>
      <c r="D12" s="61">
        <v>999395654431</v>
      </c>
      <c r="E12" s="30" t="s">
        <v>24</v>
      </c>
      <c r="F12" s="46">
        <v>476</v>
      </c>
      <c r="G12" s="46">
        <v>4396</v>
      </c>
      <c r="H12" s="74">
        <v>1413</v>
      </c>
      <c r="I12" s="51">
        <f t="shared" si="0"/>
        <v>6285</v>
      </c>
    </row>
    <row r="13" spans="1:9" ht="21" customHeight="1">
      <c r="A13" s="60"/>
      <c r="B13" s="26" t="s">
        <v>25</v>
      </c>
      <c r="C13" s="26" t="s">
        <v>315</v>
      </c>
      <c r="D13" s="61">
        <v>999395655454</v>
      </c>
      <c r="E13" s="30" t="s">
        <v>26</v>
      </c>
      <c r="F13" s="46">
        <v>605</v>
      </c>
      <c r="G13" s="46">
        <v>2061</v>
      </c>
      <c r="H13" s="74">
        <v>186</v>
      </c>
      <c r="I13" s="51">
        <f t="shared" si="0"/>
        <v>2852</v>
      </c>
    </row>
    <row r="14" spans="1:9" ht="21" customHeight="1">
      <c r="A14" s="60"/>
      <c r="B14" s="26" t="s">
        <v>27</v>
      </c>
      <c r="C14" s="26" t="s">
        <v>326</v>
      </c>
      <c r="D14" s="61">
        <v>512012286</v>
      </c>
      <c r="E14" s="30" t="s">
        <v>28</v>
      </c>
      <c r="F14" s="46">
        <v>223</v>
      </c>
      <c r="G14" s="46">
        <v>2089</v>
      </c>
      <c r="H14" s="74">
        <v>311</v>
      </c>
      <c r="I14" s="51">
        <f t="shared" si="0"/>
        <v>2623</v>
      </c>
    </row>
    <row r="15" spans="1:9" ht="21" customHeight="1">
      <c r="A15" s="60"/>
      <c r="B15" s="26" t="s">
        <v>29</v>
      </c>
      <c r="C15" s="26" t="s">
        <v>327</v>
      </c>
      <c r="D15" s="61">
        <v>999395659634</v>
      </c>
      <c r="E15" s="30" t="s">
        <v>30</v>
      </c>
      <c r="F15" s="46">
        <v>218</v>
      </c>
      <c r="G15" s="46">
        <v>1815</v>
      </c>
      <c r="H15" s="74">
        <v>391</v>
      </c>
      <c r="I15" s="51">
        <f t="shared" si="0"/>
        <v>2424</v>
      </c>
    </row>
    <row r="16" spans="1:9" ht="21" customHeight="1">
      <c r="A16" s="60"/>
      <c r="B16" s="26" t="s">
        <v>31</v>
      </c>
      <c r="C16" s="26" t="s">
        <v>317</v>
      </c>
      <c r="D16" s="61">
        <v>999395660462</v>
      </c>
      <c r="E16" s="30" t="s">
        <v>32</v>
      </c>
      <c r="F16" s="46">
        <v>314</v>
      </c>
      <c r="G16" s="46">
        <v>1076</v>
      </c>
      <c r="H16" s="74">
        <v>675</v>
      </c>
      <c r="I16" s="51">
        <f t="shared" si="0"/>
        <v>2065</v>
      </c>
    </row>
    <row r="17" spans="1:9" ht="21" customHeight="1">
      <c r="A17" s="60"/>
      <c r="B17" s="26" t="s">
        <v>33</v>
      </c>
      <c r="C17" s="26" t="s">
        <v>366</v>
      </c>
      <c r="D17" s="61">
        <v>999395662284</v>
      </c>
      <c r="E17" s="30" t="s">
        <v>34</v>
      </c>
      <c r="F17" s="46">
        <v>2641</v>
      </c>
      <c r="G17" s="46">
        <v>5337</v>
      </c>
      <c r="H17" s="74">
        <v>2582</v>
      </c>
      <c r="I17" s="51">
        <f t="shared" si="0"/>
        <v>10560</v>
      </c>
    </row>
    <row r="18" spans="1:9" ht="21" customHeight="1">
      <c r="A18" s="60"/>
      <c r="B18" s="26" t="s">
        <v>35</v>
      </c>
      <c r="C18" s="26" t="s">
        <v>292</v>
      </c>
      <c r="D18" s="61">
        <v>999395662947</v>
      </c>
      <c r="E18" s="30" t="s">
        <v>36</v>
      </c>
      <c r="F18" s="46">
        <v>1268</v>
      </c>
      <c r="G18" s="46">
        <v>1537</v>
      </c>
      <c r="H18" s="74">
        <v>314</v>
      </c>
      <c r="I18" s="51">
        <f t="shared" si="0"/>
        <v>3119</v>
      </c>
    </row>
    <row r="19" spans="1:9" ht="21" customHeight="1">
      <c r="A19" s="60"/>
      <c r="B19" s="26" t="s">
        <v>37</v>
      </c>
      <c r="C19" s="26" t="s">
        <v>369</v>
      </c>
      <c r="D19" s="61">
        <v>999395663410</v>
      </c>
      <c r="E19" s="30" t="s">
        <v>38</v>
      </c>
      <c r="F19" s="46">
        <v>1096</v>
      </c>
      <c r="G19" s="46">
        <v>1187</v>
      </c>
      <c r="H19" s="74">
        <v>317</v>
      </c>
      <c r="I19" s="51">
        <f t="shared" si="0"/>
        <v>2600</v>
      </c>
    </row>
    <row r="20" spans="1:9" ht="21" customHeight="1">
      <c r="A20" s="60"/>
      <c r="B20" s="26" t="s">
        <v>39</v>
      </c>
      <c r="C20" s="26" t="s">
        <v>293</v>
      </c>
      <c r="D20" s="61">
        <v>999395665004</v>
      </c>
      <c r="E20" s="30" t="s">
        <v>40</v>
      </c>
      <c r="F20" s="46">
        <v>2482</v>
      </c>
      <c r="G20" s="46">
        <v>3243</v>
      </c>
      <c r="H20" s="74">
        <v>1095</v>
      </c>
      <c r="I20" s="51">
        <f t="shared" si="0"/>
        <v>6820</v>
      </c>
    </row>
    <row r="21" spans="1:9" ht="21" customHeight="1">
      <c r="A21" s="60"/>
      <c r="B21" s="26" t="s">
        <v>41</v>
      </c>
      <c r="C21" s="26" t="s">
        <v>367</v>
      </c>
      <c r="D21" s="61">
        <v>999395665500</v>
      </c>
      <c r="E21" s="30" t="s">
        <v>42</v>
      </c>
      <c r="F21" s="46">
        <v>552</v>
      </c>
      <c r="G21" s="46">
        <v>1830</v>
      </c>
      <c r="H21" s="74">
        <v>704</v>
      </c>
      <c r="I21" s="51">
        <f t="shared" si="0"/>
        <v>3086</v>
      </c>
    </row>
    <row r="22" spans="1:9" ht="21" customHeight="1">
      <c r="A22" s="60"/>
      <c r="B22" s="26" t="s">
        <v>43</v>
      </c>
      <c r="C22" s="93"/>
      <c r="D22" s="61">
        <v>999395674678</v>
      </c>
      <c r="E22" s="30" t="s">
        <v>44</v>
      </c>
      <c r="F22" s="46">
        <v>147</v>
      </c>
      <c r="G22" s="46">
        <v>0</v>
      </c>
      <c r="H22" s="74">
        <v>243</v>
      </c>
      <c r="I22" s="51">
        <f t="shared" si="0"/>
        <v>390</v>
      </c>
    </row>
    <row r="23" spans="1:9" ht="21" customHeight="1">
      <c r="A23" s="60"/>
      <c r="B23" s="26" t="s">
        <v>45</v>
      </c>
      <c r="C23" s="26" t="s">
        <v>307</v>
      </c>
      <c r="D23" s="61">
        <v>999395675751</v>
      </c>
      <c r="E23" s="30" t="s">
        <v>46</v>
      </c>
      <c r="F23" s="46">
        <v>852</v>
      </c>
      <c r="G23" s="46">
        <v>1621</v>
      </c>
      <c r="H23" s="74">
        <v>329</v>
      </c>
      <c r="I23" s="51">
        <f t="shared" si="0"/>
        <v>2802</v>
      </c>
    </row>
    <row r="24" spans="1:9" s="19" customFormat="1" ht="21" customHeight="1">
      <c r="A24" s="60"/>
      <c r="B24" s="26" t="s">
        <v>47</v>
      </c>
      <c r="C24" s="26" t="s">
        <v>318</v>
      </c>
      <c r="D24" s="61">
        <v>999395676257</v>
      </c>
      <c r="E24" s="30" t="s">
        <v>48</v>
      </c>
      <c r="F24" s="46">
        <v>187</v>
      </c>
      <c r="G24" s="46">
        <v>311</v>
      </c>
      <c r="H24" s="74">
        <v>123</v>
      </c>
      <c r="I24" s="51">
        <f t="shared" si="0"/>
        <v>621</v>
      </c>
    </row>
    <row r="25" spans="1:9" s="19" customFormat="1" ht="21" customHeight="1">
      <c r="A25" s="60"/>
      <c r="B25" s="26" t="s">
        <v>49</v>
      </c>
      <c r="C25" s="26" t="s">
        <v>328</v>
      </c>
      <c r="D25" s="61">
        <v>999395676905</v>
      </c>
      <c r="E25" s="30" t="s">
        <v>50</v>
      </c>
      <c r="F25" s="46">
        <v>201</v>
      </c>
      <c r="G25" s="46">
        <v>1253</v>
      </c>
      <c r="H25" s="74">
        <v>88</v>
      </c>
      <c r="I25" s="51">
        <f t="shared" si="0"/>
        <v>1542</v>
      </c>
    </row>
    <row r="26" spans="1:9" ht="21" customHeight="1">
      <c r="A26" s="60"/>
      <c r="B26" s="26" t="s">
        <v>51</v>
      </c>
      <c r="C26" s="93"/>
      <c r="D26" s="61">
        <v>999395677339</v>
      </c>
      <c r="E26" s="30" t="s">
        <v>52</v>
      </c>
      <c r="F26" s="46">
        <v>902</v>
      </c>
      <c r="G26" s="46">
        <v>916</v>
      </c>
      <c r="H26" s="74">
        <v>0</v>
      </c>
      <c r="I26" s="51">
        <f t="shared" si="0"/>
        <v>1818</v>
      </c>
    </row>
    <row r="27" spans="1:9" ht="21" customHeight="1">
      <c r="A27" s="60"/>
      <c r="B27" s="26" t="s">
        <v>53</v>
      </c>
      <c r="C27" s="93"/>
      <c r="D27" s="61">
        <v>999395680029</v>
      </c>
      <c r="E27" s="30" t="s">
        <v>54</v>
      </c>
      <c r="F27" s="46">
        <v>756</v>
      </c>
      <c r="G27" s="46">
        <v>758</v>
      </c>
      <c r="H27" s="74">
        <v>0</v>
      </c>
      <c r="I27" s="51">
        <f t="shared" si="0"/>
        <v>1514</v>
      </c>
    </row>
    <row r="28" spans="1:9" ht="21" customHeight="1">
      <c r="A28" s="60"/>
      <c r="B28" s="26" t="s">
        <v>55</v>
      </c>
      <c r="C28" s="26" t="s">
        <v>294</v>
      </c>
      <c r="D28" s="61">
        <v>999395682858</v>
      </c>
      <c r="E28" s="30" t="s">
        <v>56</v>
      </c>
      <c r="F28" s="46">
        <v>1052</v>
      </c>
      <c r="G28" s="46">
        <v>1330</v>
      </c>
      <c r="H28" s="74">
        <v>570</v>
      </c>
      <c r="I28" s="51">
        <f t="shared" si="0"/>
        <v>2952</v>
      </c>
    </row>
    <row r="29" spans="1:9" ht="21" customHeight="1">
      <c r="A29" s="60"/>
      <c r="B29" s="26" t="s">
        <v>57</v>
      </c>
      <c r="C29" s="26" t="s">
        <v>295</v>
      </c>
      <c r="D29" s="12">
        <v>512095448</v>
      </c>
      <c r="E29" s="30" t="s">
        <v>58</v>
      </c>
      <c r="F29" s="46">
        <v>2110</v>
      </c>
      <c r="G29" s="46">
        <v>2860</v>
      </c>
      <c r="H29" s="74">
        <v>786</v>
      </c>
      <c r="I29" s="51">
        <f t="shared" si="0"/>
        <v>5756</v>
      </c>
    </row>
    <row r="30" spans="1:9" ht="21" customHeight="1">
      <c r="A30" s="60"/>
      <c r="B30" s="26" t="s">
        <v>59</v>
      </c>
      <c r="C30" s="26" t="s">
        <v>296</v>
      </c>
      <c r="D30" s="61">
        <v>999395695033</v>
      </c>
      <c r="E30" s="30" t="s">
        <v>60</v>
      </c>
      <c r="F30" s="46">
        <v>2599.5</v>
      </c>
      <c r="G30" s="46">
        <v>0</v>
      </c>
      <c r="H30" s="74">
        <v>0</v>
      </c>
      <c r="I30" s="51">
        <f t="shared" si="0"/>
        <v>2599.5</v>
      </c>
    </row>
    <row r="31" spans="1:9" ht="21" customHeight="1">
      <c r="A31" s="60"/>
      <c r="B31" s="26" t="s">
        <v>61</v>
      </c>
      <c r="C31" s="26" t="s">
        <v>296</v>
      </c>
      <c r="D31" s="61">
        <v>999395696742</v>
      </c>
      <c r="E31" s="30" t="s">
        <v>62</v>
      </c>
      <c r="F31" s="46">
        <f>8590/2</f>
        <v>4295</v>
      </c>
      <c r="G31" s="46">
        <v>0</v>
      </c>
      <c r="H31" s="74">
        <v>0</v>
      </c>
      <c r="I31" s="51">
        <f t="shared" si="0"/>
        <v>4295</v>
      </c>
    </row>
    <row r="32" spans="1:9" ht="21" customHeight="1">
      <c r="A32" s="60"/>
      <c r="B32" s="26" t="s">
        <v>63</v>
      </c>
      <c r="C32" s="26" t="s">
        <v>308</v>
      </c>
      <c r="D32" s="61">
        <v>999395697615</v>
      </c>
      <c r="E32" s="30" t="s">
        <v>64</v>
      </c>
      <c r="F32" s="46">
        <f>5598/2</f>
        <v>2799</v>
      </c>
      <c r="G32" s="46">
        <v>0</v>
      </c>
      <c r="H32" s="74">
        <v>0</v>
      </c>
      <c r="I32" s="51">
        <f t="shared" si="0"/>
        <v>2799</v>
      </c>
    </row>
    <row r="33" spans="1:9" ht="21" customHeight="1">
      <c r="A33" s="60"/>
      <c r="B33" s="26" t="s">
        <v>65</v>
      </c>
      <c r="C33" s="26" t="s">
        <v>297</v>
      </c>
      <c r="D33" s="61">
        <v>999395698321</v>
      </c>
      <c r="E33" s="30" t="s">
        <v>66</v>
      </c>
      <c r="F33" s="46">
        <f>4958/2</f>
        <v>2479</v>
      </c>
      <c r="G33" s="46">
        <v>0</v>
      </c>
      <c r="H33" s="74">
        <v>0</v>
      </c>
      <c r="I33" s="51">
        <f t="shared" si="0"/>
        <v>2479</v>
      </c>
    </row>
    <row r="34" spans="1:9" ht="21" customHeight="1">
      <c r="A34" s="60"/>
      <c r="B34" s="26" t="s">
        <v>67</v>
      </c>
      <c r="C34" s="26" t="s">
        <v>309</v>
      </c>
      <c r="D34" s="62">
        <v>999395698661</v>
      </c>
      <c r="E34" s="31" t="s">
        <v>68</v>
      </c>
      <c r="F34" s="47">
        <f>1944/2</f>
        <v>972</v>
      </c>
      <c r="G34" s="47">
        <v>0</v>
      </c>
      <c r="H34" s="75">
        <v>0</v>
      </c>
      <c r="I34" s="51">
        <f t="shared" si="0"/>
        <v>972</v>
      </c>
    </row>
    <row r="35" spans="1:9" s="20" customFormat="1" ht="21" customHeight="1">
      <c r="A35" s="60"/>
      <c r="B35" s="26" t="s">
        <v>69</v>
      </c>
      <c r="C35" s="26"/>
      <c r="D35" s="61">
        <v>999395699042</v>
      </c>
      <c r="E35" s="30" t="s">
        <v>70</v>
      </c>
      <c r="F35" s="46">
        <f>7763/2</f>
        <v>3881.5</v>
      </c>
      <c r="G35" s="46">
        <v>0</v>
      </c>
      <c r="H35" s="74">
        <v>0</v>
      </c>
      <c r="I35" s="51">
        <f t="shared" si="0"/>
        <v>3881.5</v>
      </c>
    </row>
    <row r="36" spans="1:9" ht="21" customHeight="1">
      <c r="A36" s="60"/>
      <c r="B36" s="26" t="s">
        <v>71</v>
      </c>
      <c r="C36" s="93"/>
      <c r="D36" s="61">
        <v>999395699192</v>
      </c>
      <c r="E36" s="30" t="s">
        <v>72</v>
      </c>
      <c r="F36" s="47">
        <f>1772/2</f>
        <v>886</v>
      </c>
      <c r="G36" s="47">
        <v>0</v>
      </c>
      <c r="H36" s="75">
        <v>0</v>
      </c>
      <c r="I36" s="92">
        <f t="shared" si="0"/>
        <v>886</v>
      </c>
    </row>
    <row r="37" spans="1:9" ht="21" customHeight="1">
      <c r="A37" s="60"/>
      <c r="B37" s="26" t="s">
        <v>73</v>
      </c>
      <c r="C37" s="93"/>
      <c r="D37" s="61">
        <v>999395699382</v>
      </c>
      <c r="E37" s="30" t="s">
        <v>74</v>
      </c>
      <c r="F37" s="46">
        <f>2008/2</f>
        <v>1004</v>
      </c>
      <c r="G37" s="46">
        <v>0</v>
      </c>
      <c r="H37" s="74">
        <v>0</v>
      </c>
      <c r="I37" s="51">
        <f t="shared" si="0"/>
        <v>1004</v>
      </c>
    </row>
    <row r="38" spans="1:9" ht="21" customHeight="1">
      <c r="A38" s="60"/>
      <c r="B38" s="26" t="s">
        <v>75</v>
      </c>
      <c r="C38" s="26" t="s">
        <v>298</v>
      </c>
      <c r="D38" s="61">
        <v>999395699631</v>
      </c>
      <c r="E38" s="30" t="s">
        <v>76</v>
      </c>
      <c r="F38" s="46">
        <f>554/2</f>
        <v>277</v>
      </c>
      <c r="G38" s="46">
        <v>0</v>
      </c>
      <c r="H38" s="74">
        <v>0</v>
      </c>
      <c r="I38" s="51">
        <f t="shared" si="0"/>
        <v>277</v>
      </c>
    </row>
    <row r="39" spans="1:9" ht="21" customHeight="1">
      <c r="A39" s="60"/>
      <c r="B39" s="26" t="s">
        <v>77</v>
      </c>
      <c r="C39" s="93"/>
      <c r="D39" s="61">
        <v>999395699855</v>
      </c>
      <c r="E39" s="30" t="s">
        <v>78</v>
      </c>
      <c r="F39" s="46">
        <f>1829/2</f>
        <v>914.5</v>
      </c>
      <c r="G39" s="46">
        <v>0</v>
      </c>
      <c r="H39" s="74">
        <v>0</v>
      </c>
      <c r="I39" s="51">
        <f t="shared" si="0"/>
        <v>914.5</v>
      </c>
    </row>
    <row r="40" spans="1:9" ht="21" customHeight="1">
      <c r="A40" s="60"/>
      <c r="B40" s="26" t="s">
        <v>79</v>
      </c>
      <c r="C40" s="26" t="s">
        <v>299</v>
      </c>
      <c r="D40" s="61">
        <v>999395699914</v>
      </c>
      <c r="E40" s="30" t="s">
        <v>80</v>
      </c>
      <c r="F40" s="46">
        <f>4136/2</f>
        <v>2068</v>
      </c>
      <c r="G40" s="46">
        <v>0</v>
      </c>
      <c r="H40" s="74">
        <v>0</v>
      </c>
      <c r="I40" s="51">
        <f t="shared" si="0"/>
        <v>2068</v>
      </c>
    </row>
    <row r="41" spans="1:9" ht="21" customHeight="1">
      <c r="A41" s="60"/>
      <c r="B41" s="26" t="s">
        <v>81</v>
      </c>
      <c r="C41" s="26" t="s">
        <v>329</v>
      </c>
      <c r="D41" s="61">
        <v>999395720675</v>
      </c>
      <c r="E41" s="30" t="s">
        <v>82</v>
      </c>
      <c r="F41" s="46">
        <f>8881/2</f>
        <v>4440.5</v>
      </c>
      <c r="G41" s="46">
        <v>0</v>
      </c>
      <c r="H41" s="74">
        <v>0</v>
      </c>
      <c r="I41" s="51">
        <f t="shared" si="0"/>
        <v>4440.5</v>
      </c>
    </row>
    <row r="42" spans="1:9" ht="21" customHeight="1">
      <c r="A42" s="60"/>
      <c r="B42" s="26" t="s">
        <v>83</v>
      </c>
      <c r="C42" s="26" t="s">
        <v>300</v>
      </c>
      <c r="D42" s="61">
        <v>999395721493</v>
      </c>
      <c r="E42" s="30" t="s">
        <v>84</v>
      </c>
      <c r="F42" s="46">
        <f>5882/2</f>
        <v>2941</v>
      </c>
      <c r="G42" s="46">
        <v>0</v>
      </c>
      <c r="H42" s="74">
        <v>0</v>
      </c>
      <c r="I42" s="51">
        <f t="shared" si="0"/>
        <v>2941</v>
      </c>
    </row>
    <row r="43" spans="1:9" ht="21" customHeight="1">
      <c r="A43" s="60"/>
      <c r="B43" s="26" t="s">
        <v>85</v>
      </c>
      <c r="C43" s="26"/>
      <c r="D43" s="61">
        <v>999395728957</v>
      </c>
      <c r="E43" s="30" t="s">
        <v>86</v>
      </c>
      <c r="F43" s="46">
        <f>343/2</f>
        <v>171.5</v>
      </c>
      <c r="G43" s="46">
        <v>0</v>
      </c>
      <c r="H43" s="74">
        <v>0</v>
      </c>
      <c r="I43" s="51">
        <f t="shared" si="0"/>
        <v>171.5</v>
      </c>
    </row>
    <row r="44" spans="1:9" ht="21" customHeight="1">
      <c r="A44" s="60"/>
      <c r="B44" s="26" t="s">
        <v>87</v>
      </c>
      <c r="C44" s="26" t="s">
        <v>330</v>
      </c>
      <c r="D44" s="61">
        <v>999395729357</v>
      </c>
      <c r="E44" s="30" t="s">
        <v>88</v>
      </c>
      <c r="F44" s="46">
        <f>1101/2</f>
        <v>550.5</v>
      </c>
      <c r="G44" s="46">
        <v>0</v>
      </c>
      <c r="H44" s="74">
        <v>0</v>
      </c>
      <c r="I44" s="51">
        <f t="shared" si="0"/>
        <v>550.5</v>
      </c>
    </row>
    <row r="45" spans="1:9" ht="21" customHeight="1">
      <c r="A45" s="60"/>
      <c r="B45" s="26" t="s">
        <v>89</v>
      </c>
      <c r="C45" s="93"/>
      <c r="D45" s="61">
        <v>999395729815</v>
      </c>
      <c r="E45" s="30" t="s">
        <v>90</v>
      </c>
      <c r="F45" s="46">
        <f>935/2</f>
        <v>467.5</v>
      </c>
      <c r="G45" s="46">
        <v>0</v>
      </c>
      <c r="H45" s="74">
        <v>0</v>
      </c>
      <c r="I45" s="51">
        <f t="shared" si="0"/>
        <v>467.5</v>
      </c>
    </row>
    <row r="46" spans="1:9" ht="21" customHeight="1">
      <c r="A46" s="60"/>
      <c r="B46" s="26" t="s">
        <v>94</v>
      </c>
      <c r="C46" s="26" t="s">
        <v>331</v>
      </c>
      <c r="D46" s="61">
        <v>999395730546</v>
      </c>
      <c r="E46" s="30" t="s">
        <v>91</v>
      </c>
      <c r="F46" s="46">
        <f>29/2</f>
        <v>14.5</v>
      </c>
      <c r="G46" s="46">
        <v>0</v>
      </c>
      <c r="H46" s="74">
        <v>0</v>
      </c>
      <c r="I46" s="51">
        <f t="shared" si="0"/>
        <v>14.5</v>
      </c>
    </row>
    <row r="47" spans="1:9" ht="21" customHeight="1">
      <c r="A47" s="60"/>
      <c r="B47" s="26" t="s">
        <v>92</v>
      </c>
      <c r="C47" s="26" t="s">
        <v>319</v>
      </c>
      <c r="D47" s="61">
        <v>999395731005</v>
      </c>
      <c r="E47" s="32" t="s">
        <v>93</v>
      </c>
      <c r="F47" s="46">
        <f>1669/2</f>
        <v>834.5</v>
      </c>
      <c r="G47" s="46">
        <v>0</v>
      </c>
      <c r="H47" s="74">
        <v>0</v>
      </c>
      <c r="I47" s="51">
        <f t="shared" si="0"/>
        <v>834.5</v>
      </c>
    </row>
    <row r="48" spans="1:9" ht="21" customHeight="1">
      <c r="A48" s="60"/>
      <c r="B48" s="26" t="s">
        <v>95</v>
      </c>
      <c r="C48" s="93"/>
      <c r="D48" s="61">
        <v>999395731797</v>
      </c>
      <c r="E48" s="30" t="s">
        <v>96</v>
      </c>
      <c r="F48" s="46">
        <v>0</v>
      </c>
      <c r="G48" s="46">
        <v>0</v>
      </c>
      <c r="H48" s="74">
        <v>0</v>
      </c>
      <c r="I48" s="51">
        <f t="shared" si="0"/>
        <v>0</v>
      </c>
    </row>
    <row r="49" spans="1:9" ht="21" customHeight="1">
      <c r="A49" s="60"/>
      <c r="B49" s="26" t="s">
        <v>97</v>
      </c>
      <c r="C49" s="26"/>
      <c r="D49" s="61">
        <v>999395850272</v>
      </c>
      <c r="E49" s="30" t="s">
        <v>98</v>
      </c>
      <c r="F49" s="46">
        <v>4</v>
      </c>
      <c r="G49" s="46">
        <v>2366</v>
      </c>
      <c r="H49" s="74">
        <v>4294</v>
      </c>
      <c r="I49" s="51">
        <f t="shared" si="0"/>
        <v>6664</v>
      </c>
    </row>
    <row r="50" spans="1:9" ht="21" customHeight="1">
      <c r="A50" s="60"/>
      <c r="B50" s="26" t="s">
        <v>99</v>
      </c>
      <c r="C50" s="93"/>
      <c r="D50" s="61">
        <v>999395869847</v>
      </c>
      <c r="E50" s="30" t="s">
        <v>100</v>
      </c>
      <c r="F50" s="46">
        <v>769</v>
      </c>
      <c r="G50" s="46">
        <v>2316</v>
      </c>
      <c r="H50" s="74">
        <v>0</v>
      </c>
      <c r="I50" s="51">
        <f t="shared" si="0"/>
        <v>3085</v>
      </c>
    </row>
    <row r="51" spans="1:9" ht="21" customHeight="1">
      <c r="A51" s="60"/>
      <c r="B51" s="26" t="s">
        <v>101</v>
      </c>
      <c r="C51" s="26" t="s">
        <v>371</v>
      </c>
      <c r="D51" s="12">
        <v>83007836944</v>
      </c>
      <c r="E51" s="30" t="s">
        <v>102</v>
      </c>
      <c r="F51" s="46">
        <f>1056/2</f>
        <v>528</v>
      </c>
      <c r="G51" s="46">
        <v>0</v>
      </c>
      <c r="H51" s="74">
        <v>0</v>
      </c>
      <c r="I51" s="51">
        <f t="shared" si="0"/>
        <v>528</v>
      </c>
    </row>
    <row r="52" spans="1:9" ht="21" customHeight="1">
      <c r="A52" s="60"/>
      <c r="B52" s="26" t="s">
        <v>103</v>
      </c>
      <c r="C52" s="26" t="s">
        <v>286</v>
      </c>
      <c r="D52" s="61">
        <v>999418107083</v>
      </c>
      <c r="E52" s="30" t="s">
        <v>104</v>
      </c>
      <c r="F52" s="46">
        <f>20243/2</f>
        <v>10121.5</v>
      </c>
      <c r="G52" s="46">
        <v>0</v>
      </c>
      <c r="H52" s="74">
        <v>0</v>
      </c>
      <c r="I52" s="51">
        <f t="shared" si="0"/>
        <v>10121.5</v>
      </c>
    </row>
    <row r="53" spans="1:9" ht="21" customHeight="1">
      <c r="A53" s="60"/>
      <c r="B53" s="26" t="s">
        <v>105</v>
      </c>
      <c r="C53" s="26" t="s">
        <v>332</v>
      </c>
      <c r="D53" s="61">
        <v>999418108530</v>
      </c>
      <c r="E53" s="30" t="s">
        <v>106</v>
      </c>
      <c r="F53" s="46">
        <v>522</v>
      </c>
      <c r="G53" s="46">
        <v>1231</v>
      </c>
      <c r="H53" s="74">
        <v>108</v>
      </c>
      <c r="I53" s="51">
        <f t="shared" si="0"/>
        <v>1861</v>
      </c>
    </row>
    <row r="54" spans="1:9" ht="21" customHeight="1">
      <c r="A54" s="60"/>
      <c r="B54" s="26" t="s">
        <v>107</v>
      </c>
      <c r="C54" s="26" t="s">
        <v>302</v>
      </c>
      <c r="D54" s="61">
        <v>999444028261</v>
      </c>
      <c r="E54" s="30" t="s">
        <v>108</v>
      </c>
      <c r="F54" s="46">
        <v>14</v>
      </c>
      <c r="G54" s="46">
        <v>46</v>
      </c>
      <c r="H54" s="74">
        <v>33</v>
      </c>
      <c r="I54" s="51">
        <f t="shared" si="0"/>
        <v>93</v>
      </c>
    </row>
    <row r="55" spans="1:9" ht="21" customHeight="1">
      <c r="A55" s="60"/>
      <c r="B55" s="26" t="s">
        <v>109</v>
      </c>
      <c r="C55" s="26" t="s">
        <v>313</v>
      </c>
      <c r="D55" s="12">
        <v>83000769293</v>
      </c>
      <c r="E55" s="30" t="s">
        <v>110</v>
      </c>
      <c r="F55" s="46">
        <v>252</v>
      </c>
      <c r="G55" s="46">
        <v>906</v>
      </c>
      <c r="H55" s="74">
        <v>146</v>
      </c>
      <c r="I55" s="51">
        <f t="shared" si="0"/>
        <v>1304</v>
      </c>
    </row>
    <row r="56" spans="1:9" s="19" customFormat="1" ht="21" customHeight="1">
      <c r="A56" s="60"/>
      <c r="B56" s="35" t="s">
        <v>125</v>
      </c>
      <c r="C56" s="94"/>
      <c r="D56" s="36">
        <v>60006203645</v>
      </c>
      <c r="E56" s="37" t="s">
        <v>126</v>
      </c>
      <c r="F56" s="48">
        <v>174</v>
      </c>
      <c r="G56" s="46">
        <v>0</v>
      </c>
      <c r="H56" s="48">
        <v>0</v>
      </c>
      <c r="I56" s="51">
        <f t="shared" si="0"/>
        <v>174</v>
      </c>
    </row>
    <row r="57" spans="1:9" s="29" customFormat="1" ht="21" customHeight="1">
      <c r="A57" s="60"/>
      <c r="B57" s="26" t="s">
        <v>127</v>
      </c>
      <c r="C57" s="93"/>
      <c r="D57" s="12">
        <v>60007966411</v>
      </c>
      <c r="E57" s="30" t="s">
        <v>128</v>
      </c>
      <c r="F57" s="46">
        <v>442</v>
      </c>
      <c r="G57" s="46">
        <v>0</v>
      </c>
      <c r="H57" s="74">
        <v>0</v>
      </c>
      <c r="I57" s="51">
        <f t="shared" si="0"/>
        <v>442</v>
      </c>
    </row>
    <row r="58" spans="1:9" ht="21" customHeight="1">
      <c r="A58" s="60"/>
      <c r="B58" s="26" t="s">
        <v>129</v>
      </c>
      <c r="C58" s="26" t="s">
        <v>289</v>
      </c>
      <c r="D58" s="12">
        <v>60006643135</v>
      </c>
      <c r="E58" s="30" t="s">
        <v>130</v>
      </c>
      <c r="F58" s="46">
        <f>732/2</f>
        <v>366</v>
      </c>
      <c r="G58" s="46">
        <v>0</v>
      </c>
      <c r="H58" s="74">
        <v>0</v>
      </c>
      <c r="I58" s="51">
        <f t="shared" si="0"/>
        <v>366</v>
      </c>
    </row>
    <row r="59" spans="1:9" ht="21" customHeight="1">
      <c r="A59" s="60"/>
      <c r="B59" s="26" t="s">
        <v>131</v>
      </c>
      <c r="C59" s="93"/>
      <c r="D59" s="12">
        <v>60007843244</v>
      </c>
      <c r="E59" s="30" t="s">
        <v>132</v>
      </c>
      <c r="F59" s="46">
        <f>592/2</f>
        <v>296</v>
      </c>
      <c r="G59" s="46">
        <v>0</v>
      </c>
      <c r="H59" s="74">
        <v>0</v>
      </c>
      <c r="I59" s="51">
        <f t="shared" si="0"/>
        <v>296</v>
      </c>
    </row>
    <row r="60" spans="1:9" ht="21" customHeight="1">
      <c r="A60" s="60"/>
      <c r="B60" s="26" t="s">
        <v>133</v>
      </c>
      <c r="C60" s="26" t="s">
        <v>322</v>
      </c>
      <c r="D60" s="12">
        <v>60007843069</v>
      </c>
      <c r="E60" s="30" t="s">
        <v>134</v>
      </c>
      <c r="F60" s="46">
        <f>785/2</f>
        <v>392.5</v>
      </c>
      <c r="G60" s="46">
        <v>0</v>
      </c>
      <c r="H60" s="74">
        <v>0</v>
      </c>
      <c r="I60" s="51">
        <f aca="true" t="shared" si="1" ref="I60:I120">F60+G60+H60</f>
        <v>392.5</v>
      </c>
    </row>
    <row r="61" spans="1:9" ht="21" customHeight="1">
      <c r="A61" s="60"/>
      <c r="B61" s="26" t="s">
        <v>135</v>
      </c>
      <c r="C61" s="26" t="s">
        <v>353</v>
      </c>
      <c r="D61" s="12">
        <v>60007843073</v>
      </c>
      <c r="E61" s="30" t="s">
        <v>136</v>
      </c>
      <c r="F61" s="46">
        <f>728/2</f>
        <v>364</v>
      </c>
      <c r="G61" s="46">
        <v>0</v>
      </c>
      <c r="H61" s="74">
        <v>0</v>
      </c>
      <c r="I61" s="51">
        <f t="shared" si="1"/>
        <v>364</v>
      </c>
    </row>
    <row r="62" spans="1:9" ht="21" customHeight="1">
      <c r="A62" s="60"/>
      <c r="B62" s="26" t="s">
        <v>137</v>
      </c>
      <c r="C62" s="93"/>
      <c r="D62" s="12">
        <v>60007843356</v>
      </c>
      <c r="E62" s="30" t="s">
        <v>138</v>
      </c>
      <c r="F62" s="46">
        <f>143/2</f>
        <v>71.5</v>
      </c>
      <c r="G62" s="46">
        <v>0</v>
      </c>
      <c r="H62" s="74">
        <v>0</v>
      </c>
      <c r="I62" s="51">
        <f t="shared" si="1"/>
        <v>71.5</v>
      </c>
    </row>
    <row r="63" spans="1:9" ht="21" customHeight="1">
      <c r="A63" s="60"/>
      <c r="B63" s="26" t="s">
        <v>139</v>
      </c>
      <c r="C63" s="93"/>
      <c r="D63" s="12">
        <v>60007847274</v>
      </c>
      <c r="E63" s="30" t="s">
        <v>140</v>
      </c>
      <c r="F63" s="46">
        <f>263/2</f>
        <v>131.5</v>
      </c>
      <c r="G63" s="46">
        <v>0</v>
      </c>
      <c r="H63" s="74">
        <v>0</v>
      </c>
      <c r="I63" s="51">
        <f t="shared" si="1"/>
        <v>131.5</v>
      </c>
    </row>
    <row r="64" spans="1:9" ht="21" customHeight="1">
      <c r="A64" s="60"/>
      <c r="B64" s="26" t="s">
        <v>141</v>
      </c>
      <c r="C64" s="93"/>
      <c r="D64" s="12">
        <v>60007847482</v>
      </c>
      <c r="E64" s="30" t="s">
        <v>142</v>
      </c>
      <c r="F64" s="46">
        <v>476</v>
      </c>
      <c r="G64" s="46">
        <v>0</v>
      </c>
      <c r="H64" s="74">
        <v>0</v>
      </c>
      <c r="I64" s="51">
        <f t="shared" si="1"/>
        <v>476</v>
      </c>
    </row>
    <row r="65" spans="1:9" ht="21" customHeight="1">
      <c r="A65" s="60"/>
      <c r="B65" s="26" t="s">
        <v>143</v>
      </c>
      <c r="C65" s="26" t="s">
        <v>323</v>
      </c>
      <c r="D65" s="12">
        <v>60007858040</v>
      </c>
      <c r="E65" s="78" t="s">
        <v>144</v>
      </c>
      <c r="F65" s="46">
        <v>66</v>
      </c>
      <c r="G65" s="46">
        <v>0</v>
      </c>
      <c r="H65" s="74">
        <v>0</v>
      </c>
      <c r="I65" s="51">
        <f t="shared" si="1"/>
        <v>66</v>
      </c>
    </row>
    <row r="66" spans="1:9" ht="21" customHeight="1">
      <c r="A66" s="60"/>
      <c r="B66" s="43" t="s">
        <v>145</v>
      </c>
      <c r="C66" s="43" t="s">
        <v>358</v>
      </c>
      <c r="D66" s="44">
        <v>60007889355</v>
      </c>
      <c r="E66" s="37" t="s">
        <v>146</v>
      </c>
      <c r="F66" s="46">
        <f>265/2</f>
        <v>132.5</v>
      </c>
      <c r="G66" s="46">
        <v>0</v>
      </c>
      <c r="H66" s="74">
        <v>0</v>
      </c>
      <c r="I66" s="51">
        <f t="shared" si="1"/>
        <v>132.5</v>
      </c>
    </row>
    <row r="67" spans="1:9" ht="21" customHeight="1">
      <c r="A67" s="60"/>
      <c r="B67" s="41" t="s">
        <v>147</v>
      </c>
      <c r="C67" s="41" t="s">
        <v>311</v>
      </c>
      <c r="D67" s="40">
        <v>60007899611</v>
      </c>
      <c r="E67" s="42" t="s">
        <v>148</v>
      </c>
      <c r="F67" s="47">
        <v>694</v>
      </c>
      <c r="G67" s="47">
        <v>0</v>
      </c>
      <c r="H67" s="75">
        <v>0</v>
      </c>
      <c r="I67" s="51">
        <f t="shared" si="1"/>
        <v>694</v>
      </c>
    </row>
    <row r="68" spans="1:9" ht="21" customHeight="1">
      <c r="A68" s="60"/>
      <c r="B68" s="26" t="s">
        <v>149</v>
      </c>
      <c r="C68" s="93"/>
      <c r="D68" s="12">
        <v>60008073286</v>
      </c>
      <c r="E68" s="30" t="s">
        <v>150</v>
      </c>
      <c r="F68" s="46">
        <f>87/2</f>
        <v>43.5</v>
      </c>
      <c r="G68" s="46">
        <v>0</v>
      </c>
      <c r="H68" s="74">
        <v>0</v>
      </c>
      <c r="I68" s="51">
        <f t="shared" si="1"/>
        <v>43.5</v>
      </c>
    </row>
    <row r="69" spans="1:9" s="29" customFormat="1" ht="21" customHeight="1">
      <c r="A69" s="60"/>
      <c r="B69" s="26" t="s">
        <v>151</v>
      </c>
      <c r="C69" s="26"/>
      <c r="D69" s="12">
        <v>60008101006</v>
      </c>
      <c r="E69" s="30" t="s">
        <v>152</v>
      </c>
      <c r="F69" s="46">
        <v>7</v>
      </c>
      <c r="G69" s="46">
        <v>0</v>
      </c>
      <c r="H69" s="74">
        <v>0</v>
      </c>
      <c r="I69" s="51">
        <f t="shared" si="1"/>
        <v>7</v>
      </c>
    </row>
    <row r="70" spans="1:9" s="29" customFormat="1" ht="21" customHeight="1">
      <c r="A70" s="60"/>
      <c r="B70" s="26" t="s">
        <v>153</v>
      </c>
      <c r="C70" s="26" t="s">
        <v>359</v>
      </c>
      <c r="D70" s="12">
        <v>60008115357</v>
      </c>
      <c r="E70" s="30" t="s">
        <v>154</v>
      </c>
      <c r="F70" s="46">
        <v>328</v>
      </c>
      <c r="G70" s="46">
        <v>0</v>
      </c>
      <c r="H70" s="74">
        <v>0</v>
      </c>
      <c r="I70" s="51">
        <f t="shared" si="1"/>
        <v>328</v>
      </c>
    </row>
    <row r="71" spans="1:9" s="20" customFormat="1" ht="21" customHeight="1">
      <c r="A71" s="60"/>
      <c r="B71" s="26" t="s">
        <v>155</v>
      </c>
      <c r="C71" s="26" t="s">
        <v>312</v>
      </c>
      <c r="D71" s="12">
        <v>60008450632</v>
      </c>
      <c r="E71" s="30" t="s">
        <v>156</v>
      </c>
      <c r="F71" s="46">
        <v>84</v>
      </c>
      <c r="G71" s="46">
        <v>0</v>
      </c>
      <c r="H71" s="74">
        <v>0</v>
      </c>
      <c r="I71" s="51">
        <f t="shared" si="1"/>
        <v>84</v>
      </c>
    </row>
    <row r="72" spans="1:9" ht="21" customHeight="1">
      <c r="A72" s="60"/>
      <c r="B72" s="26" t="s">
        <v>157</v>
      </c>
      <c r="C72" s="26" t="s">
        <v>360</v>
      </c>
      <c r="D72" s="12">
        <v>60008427213</v>
      </c>
      <c r="E72" s="30" t="s">
        <v>158</v>
      </c>
      <c r="F72" s="46">
        <f>130/2</f>
        <v>65</v>
      </c>
      <c r="G72" s="46">
        <v>0</v>
      </c>
      <c r="H72" s="74">
        <v>0</v>
      </c>
      <c r="I72" s="51">
        <f t="shared" si="1"/>
        <v>65</v>
      </c>
    </row>
    <row r="73" spans="1:9" ht="21" customHeight="1">
      <c r="A73" s="60"/>
      <c r="B73" s="26" t="s">
        <v>159</v>
      </c>
      <c r="C73" s="26" t="s">
        <v>361</v>
      </c>
      <c r="D73" s="12">
        <v>60008475541</v>
      </c>
      <c r="E73" s="30" t="s">
        <v>160</v>
      </c>
      <c r="F73" s="46">
        <f>927/2</f>
        <v>463.5</v>
      </c>
      <c r="G73" s="46">
        <v>0</v>
      </c>
      <c r="H73" s="74">
        <v>0</v>
      </c>
      <c r="I73" s="51">
        <f t="shared" si="1"/>
        <v>463.5</v>
      </c>
    </row>
    <row r="74" spans="1:9" ht="21" customHeight="1">
      <c r="A74" s="60"/>
      <c r="B74" s="26" t="s">
        <v>161</v>
      </c>
      <c r="C74" s="93"/>
      <c r="D74" s="12">
        <v>60008368817</v>
      </c>
      <c r="E74" s="30" t="s">
        <v>162</v>
      </c>
      <c r="F74" s="46">
        <v>122</v>
      </c>
      <c r="G74" s="46">
        <v>0</v>
      </c>
      <c r="H74" s="74">
        <v>0</v>
      </c>
      <c r="I74" s="51">
        <f t="shared" si="1"/>
        <v>122</v>
      </c>
    </row>
    <row r="75" spans="1:9" ht="21" customHeight="1">
      <c r="A75" s="60"/>
      <c r="B75" s="26" t="s">
        <v>163</v>
      </c>
      <c r="C75" s="26" t="s">
        <v>372</v>
      </c>
      <c r="D75" s="12">
        <v>60091069643</v>
      </c>
      <c r="E75" s="30" t="s">
        <v>164</v>
      </c>
      <c r="F75" s="46">
        <v>11</v>
      </c>
      <c r="G75" s="46">
        <v>0</v>
      </c>
      <c r="H75" s="74">
        <v>0</v>
      </c>
      <c r="I75" s="51">
        <f t="shared" si="1"/>
        <v>11</v>
      </c>
    </row>
    <row r="76" spans="1:9" ht="21" customHeight="1">
      <c r="A76" s="60"/>
      <c r="B76" s="26" t="s">
        <v>165</v>
      </c>
      <c r="C76" s="26" t="s">
        <v>363</v>
      </c>
      <c r="D76" s="12">
        <v>60089709450</v>
      </c>
      <c r="E76" s="30" t="s">
        <v>166</v>
      </c>
      <c r="F76" s="46">
        <v>132</v>
      </c>
      <c r="G76" s="46">
        <v>0</v>
      </c>
      <c r="H76" s="74">
        <v>0</v>
      </c>
      <c r="I76" s="51">
        <f t="shared" si="1"/>
        <v>132</v>
      </c>
    </row>
    <row r="77" spans="1:9" ht="21" customHeight="1">
      <c r="A77" s="60"/>
      <c r="B77" s="26" t="s">
        <v>167</v>
      </c>
      <c r="C77" s="26" t="s">
        <v>362</v>
      </c>
      <c r="D77" s="12">
        <v>60089553056</v>
      </c>
      <c r="E77" s="30" t="s">
        <v>168</v>
      </c>
      <c r="F77" s="46">
        <f>2753/2</f>
        <v>1376.5</v>
      </c>
      <c r="G77" s="46">
        <v>0</v>
      </c>
      <c r="H77" s="74">
        <v>0</v>
      </c>
      <c r="I77" s="51">
        <f t="shared" si="1"/>
        <v>1376.5</v>
      </c>
    </row>
    <row r="78" spans="1:9" ht="21" customHeight="1">
      <c r="A78" s="60"/>
      <c r="B78" s="26" t="s">
        <v>169</v>
      </c>
      <c r="C78" s="26" t="s">
        <v>364</v>
      </c>
      <c r="D78" s="17">
        <v>60090692774</v>
      </c>
      <c r="E78" s="31" t="s">
        <v>170</v>
      </c>
      <c r="F78" s="46">
        <v>8</v>
      </c>
      <c r="G78" s="46">
        <v>0</v>
      </c>
      <c r="H78" s="74">
        <v>0</v>
      </c>
      <c r="I78" s="51">
        <f t="shared" si="1"/>
        <v>8</v>
      </c>
    </row>
    <row r="79" spans="1:9" ht="21" customHeight="1">
      <c r="A79" s="60"/>
      <c r="B79" s="26" t="s">
        <v>171</v>
      </c>
      <c r="C79" s="93"/>
      <c r="D79" s="12">
        <v>60006579681</v>
      </c>
      <c r="E79" s="30" t="s">
        <v>172</v>
      </c>
      <c r="F79" s="46">
        <v>42</v>
      </c>
      <c r="G79" s="46">
        <v>0</v>
      </c>
      <c r="H79" s="74">
        <v>0</v>
      </c>
      <c r="I79" s="51">
        <f t="shared" si="1"/>
        <v>42</v>
      </c>
    </row>
    <row r="80" spans="1:9" ht="21" customHeight="1">
      <c r="A80" s="60"/>
      <c r="B80" s="26" t="s">
        <v>173</v>
      </c>
      <c r="C80" s="26" t="s">
        <v>333</v>
      </c>
      <c r="D80" s="12">
        <v>60006586696</v>
      </c>
      <c r="E80" s="30" t="s">
        <v>174</v>
      </c>
      <c r="F80" s="46">
        <f>2136/2</f>
        <v>1068</v>
      </c>
      <c r="G80" s="46">
        <v>0</v>
      </c>
      <c r="H80" s="74">
        <v>0</v>
      </c>
      <c r="I80" s="51">
        <f t="shared" si="1"/>
        <v>1068</v>
      </c>
    </row>
    <row r="81" spans="1:9" s="29" customFormat="1" ht="21" customHeight="1">
      <c r="A81" s="60"/>
      <c r="B81" s="26" t="s">
        <v>175</v>
      </c>
      <c r="C81" s="93"/>
      <c r="D81" s="17">
        <v>60006586704</v>
      </c>
      <c r="E81" s="31" t="s">
        <v>176</v>
      </c>
      <c r="F81" s="46">
        <f>149/2</f>
        <v>74.5</v>
      </c>
      <c r="G81" s="46">
        <v>0</v>
      </c>
      <c r="H81" s="74">
        <v>0</v>
      </c>
      <c r="I81" s="51">
        <f t="shared" si="1"/>
        <v>74.5</v>
      </c>
    </row>
    <row r="82" spans="1:9" ht="21" customHeight="1">
      <c r="A82" s="60"/>
      <c r="B82" s="26" t="s">
        <v>177</v>
      </c>
      <c r="C82" s="26" t="s">
        <v>370</v>
      </c>
      <c r="D82" s="12">
        <v>60006587652</v>
      </c>
      <c r="E82" s="33" t="s">
        <v>178</v>
      </c>
      <c r="F82" s="47">
        <v>0</v>
      </c>
      <c r="G82" s="47">
        <v>0</v>
      </c>
      <c r="H82" s="75">
        <v>0</v>
      </c>
      <c r="I82" s="51">
        <f t="shared" si="1"/>
        <v>0</v>
      </c>
    </row>
    <row r="83" spans="1:9" s="20" customFormat="1" ht="21" customHeight="1">
      <c r="A83" s="60"/>
      <c r="B83" s="26" t="s">
        <v>179</v>
      </c>
      <c r="C83" s="26" t="s">
        <v>334</v>
      </c>
      <c r="D83" s="12">
        <v>60006587671</v>
      </c>
      <c r="E83" s="30" t="s">
        <v>180</v>
      </c>
      <c r="F83" s="49">
        <f>444/2</f>
        <v>222</v>
      </c>
      <c r="G83" s="49">
        <v>0</v>
      </c>
      <c r="H83" s="76">
        <v>0</v>
      </c>
      <c r="I83" s="51">
        <f t="shared" si="1"/>
        <v>222</v>
      </c>
    </row>
    <row r="84" spans="1:9" ht="21" customHeight="1">
      <c r="A84" s="60"/>
      <c r="B84" s="26" t="s">
        <v>181</v>
      </c>
      <c r="C84" s="26" t="s">
        <v>335</v>
      </c>
      <c r="D84" s="12">
        <v>60006593566</v>
      </c>
      <c r="E84" s="30" t="s">
        <v>182</v>
      </c>
      <c r="F84" s="46">
        <f>683/2</f>
        <v>341.5</v>
      </c>
      <c r="G84" s="46">
        <v>0</v>
      </c>
      <c r="H84" s="74">
        <v>0</v>
      </c>
      <c r="I84" s="51">
        <f t="shared" si="1"/>
        <v>341.5</v>
      </c>
    </row>
    <row r="85" spans="1:9" ht="21" customHeight="1">
      <c r="A85" s="60"/>
      <c r="B85" s="26" t="s">
        <v>183</v>
      </c>
      <c r="C85" s="26" t="s">
        <v>336</v>
      </c>
      <c r="D85" s="12">
        <v>60006601563</v>
      </c>
      <c r="E85" s="30" t="s">
        <v>184</v>
      </c>
      <c r="F85" s="46">
        <f>343.333333333333+259.4</f>
        <v>602.7333333333329</v>
      </c>
      <c r="G85" s="46">
        <v>0</v>
      </c>
      <c r="H85" s="74">
        <v>0</v>
      </c>
      <c r="I85" s="51">
        <f t="shared" si="1"/>
        <v>602.7333333333329</v>
      </c>
    </row>
    <row r="86" spans="1:9" ht="21" customHeight="1">
      <c r="A86" s="60"/>
      <c r="B86" s="26" t="s">
        <v>185</v>
      </c>
      <c r="C86" s="26" t="s">
        <v>310</v>
      </c>
      <c r="D86" s="12">
        <v>60006630551</v>
      </c>
      <c r="E86" s="30" t="s">
        <v>186</v>
      </c>
      <c r="F86" s="46">
        <f>1167/2</f>
        <v>583.5</v>
      </c>
      <c r="G86" s="46">
        <v>0</v>
      </c>
      <c r="H86" s="74">
        <v>0</v>
      </c>
      <c r="I86" s="51">
        <f t="shared" si="1"/>
        <v>583.5</v>
      </c>
    </row>
    <row r="87" spans="1:9" s="20" customFormat="1" ht="21" customHeight="1">
      <c r="A87" s="60"/>
      <c r="B87" s="26" t="s">
        <v>187</v>
      </c>
      <c r="C87" s="26" t="s">
        <v>287</v>
      </c>
      <c r="D87" s="12">
        <v>60006631759</v>
      </c>
      <c r="E87" s="30" t="s">
        <v>188</v>
      </c>
      <c r="F87" s="46">
        <f>691/2</f>
        <v>345.5</v>
      </c>
      <c r="G87" s="46">
        <v>0</v>
      </c>
      <c r="H87" s="74">
        <v>0</v>
      </c>
      <c r="I87" s="51">
        <f t="shared" si="1"/>
        <v>345.5</v>
      </c>
    </row>
    <row r="88" spans="1:9" s="29" customFormat="1" ht="21" customHeight="1">
      <c r="A88" s="60"/>
      <c r="B88" s="26" t="s">
        <v>189</v>
      </c>
      <c r="C88" s="26" t="s">
        <v>339</v>
      </c>
      <c r="D88" s="12">
        <v>60006631974</v>
      </c>
      <c r="E88" s="30" t="s">
        <v>190</v>
      </c>
      <c r="F88" s="46">
        <v>966</v>
      </c>
      <c r="G88" s="46">
        <v>0</v>
      </c>
      <c r="H88" s="74">
        <v>0</v>
      </c>
      <c r="I88" s="51">
        <f t="shared" si="1"/>
        <v>966</v>
      </c>
    </row>
    <row r="89" spans="1:9" ht="21" customHeight="1">
      <c r="A89" s="60"/>
      <c r="B89" s="26" t="s">
        <v>191</v>
      </c>
      <c r="C89" s="26" t="s">
        <v>356</v>
      </c>
      <c r="D89" s="12">
        <v>60007843337</v>
      </c>
      <c r="E89" s="30" t="s">
        <v>192</v>
      </c>
      <c r="F89" s="46">
        <f>913/2</f>
        <v>456.5</v>
      </c>
      <c r="G89" s="46">
        <v>0</v>
      </c>
      <c r="H89" s="74">
        <v>0</v>
      </c>
      <c r="I89" s="51">
        <f t="shared" si="1"/>
        <v>456.5</v>
      </c>
    </row>
    <row r="90" spans="1:9" ht="21" customHeight="1">
      <c r="A90" s="60"/>
      <c r="B90" s="26" t="s">
        <v>193</v>
      </c>
      <c r="C90" s="26" t="s">
        <v>305</v>
      </c>
      <c r="D90" s="12">
        <v>60006631992</v>
      </c>
      <c r="E90" s="30" t="s">
        <v>194</v>
      </c>
      <c r="F90" s="46">
        <v>1636</v>
      </c>
      <c r="G90" s="46">
        <v>0</v>
      </c>
      <c r="H90" s="74">
        <v>0</v>
      </c>
      <c r="I90" s="51">
        <f t="shared" si="1"/>
        <v>1636</v>
      </c>
    </row>
    <row r="91" spans="1:9" ht="21" customHeight="1">
      <c r="A91" s="60"/>
      <c r="B91" s="26" t="s">
        <v>195</v>
      </c>
      <c r="C91" s="26" t="s">
        <v>341</v>
      </c>
      <c r="D91" s="12">
        <v>60006632013</v>
      </c>
      <c r="E91" s="30" t="s">
        <v>196</v>
      </c>
      <c r="F91" s="46">
        <v>63</v>
      </c>
      <c r="G91" s="46">
        <v>0</v>
      </c>
      <c r="H91" s="74">
        <v>0</v>
      </c>
      <c r="I91" s="51">
        <f t="shared" si="1"/>
        <v>63</v>
      </c>
    </row>
    <row r="92" spans="1:9" ht="21" customHeight="1">
      <c r="A92" s="60"/>
      <c r="B92" s="26" t="s">
        <v>197</v>
      </c>
      <c r="C92" s="26" t="s">
        <v>288</v>
      </c>
      <c r="D92" s="12">
        <v>60006632028</v>
      </c>
      <c r="E92" s="30" t="s">
        <v>198</v>
      </c>
      <c r="F92" s="46">
        <v>2394</v>
      </c>
      <c r="G92" s="46">
        <v>0</v>
      </c>
      <c r="H92" s="74">
        <v>0</v>
      </c>
      <c r="I92" s="51">
        <f t="shared" si="1"/>
        <v>2394</v>
      </c>
    </row>
    <row r="93" spans="1:9" ht="21" customHeight="1">
      <c r="A93" s="60"/>
      <c r="B93" s="26" t="s">
        <v>199</v>
      </c>
      <c r="C93" s="26" t="s">
        <v>342</v>
      </c>
      <c r="D93" s="12">
        <v>60006632034</v>
      </c>
      <c r="E93" s="30" t="s">
        <v>200</v>
      </c>
      <c r="F93" s="46">
        <v>160</v>
      </c>
      <c r="G93" s="46">
        <v>0</v>
      </c>
      <c r="H93" s="74">
        <v>0</v>
      </c>
      <c r="I93" s="51">
        <f t="shared" si="1"/>
        <v>160</v>
      </c>
    </row>
    <row r="94" spans="1:9" ht="21" customHeight="1">
      <c r="A94" s="60"/>
      <c r="B94" s="26" t="s">
        <v>201</v>
      </c>
      <c r="C94" s="26" t="s">
        <v>343</v>
      </c>
      <c r="D94" s="12">
        <v>60006637176</v>
      </c>
      <c r="E94" s="30" t="s">
        <v>202</v>
      </c>
      <c r="F94" s="46">
        <f>208/2</f>
        <v>104</v>
      </c>
      <c r="G94" s="46">
        <v>0</v>
      </c>
      <c r="H94" s="74">
        <v>0</v>
      </c>
      <c r="I94" s="51">
        <f t="shared" si="1"/>
        <v>104</v>
      </c>
    </row>
    <row r="95" spans="1:9" ht="21" customHeight="1">
      <c r="A95" s="60"/>
      <c r="B95" s="26" t="s">
        <v>203</v>
      </c>
      <c r="C95" s="93"/>
      <c r="D95" s="12">
        <v>60006637235</v>
      </c>
      <c r="E95" s="30" t="s">
        <v>204</v>
      </c>
      <c r="F95" s="46">
        <f>151/2</f>
        <v>75.5</v>
      </c>
      <c r="G95" s="46">
        <v>0</v>
      </c>
      <c r="H95" s="74">
        <v>0</v>
      </c>
      <c r="I95" s="51">
        <f t="shared" si="1"/>
        <v>75.5</v>
      </c>
    </row>
    <row r="96" spans="1:9" ht="21" customHeight="1">
      <c r="A96" s="60"/>
      <c r="B96" s="26" t="s">
        <v>205</v>
      </c>
      <c r="C96" s="26" t="s">
        <v>306</v>
      </c>
      <c r="D96" s="12">
        <v>60006637714</v>
      </c>
      <c r="E96" s="30" t="s">
        <v>206</v>
      </c>
      <c r="F96" s="46">
        <f>238/2</f>
        <v>119</v>
      </c>
      <c r="G96" s="46">
        <v>0</v>
      </c>
      <c r="H96" s="74">
        <v>0</v>
      </c>
      <c r="I96" s="51">
        <f t="shared" si="1"/>
        <v>119</v>
      </c>
    </row>
    <row r="97" spans="1:9" ht="21" customHeight="1">
      <c r="A97" s="60"/>
      <c r="B97" s="26" t="s">
        <v>207</v>
      </c>
      <c r="C97" s="93"/>
      <c r="D97" s="12">
        <v>60006642108</v>
      </c>
      <c r="E97" s="30" t="s">
        <v>208</v>
      </c>
      <c r="F97" s="46">
        <f>151/2</f>
        <v>75.5</v>
      </c>
      <c r="G97" s="46">
        <v>0</v>
      </c>
      <c r="H97" s="74">
        <v>0</v>
      </c>
      <c r="I97" s="51">
        <f t="shared" si="1"/>
        <v>75.5</v>
      </c>
    </row>
    <row r="98" spans="1:9" ht="21" customHeight="1">
      <c r="A98" s="60"/>
      <c r="B98" s="26" t="s">
        <v>209</v>
      </c>
      <c r="C98" s="93"/>
      <c r="D98" s="12">
        <v>60006642114</v>
      </c>
      <c r="E98" s="30" t="s">
        <v>210</v>
      </c>
      <c r="F98" s="46">
        <f>151/2</f>
        <v>75.5</v>
      </c>
      <c r="G98" s="46">
        <v>0</v>
      </c>
      <c r="H98" s="74">
        <v>0</v>
      </c>
      <c r="I98" s="51">
        <f t="shared" si="1"/>
        <v>75.5</v>
      </c>
    </row>
    <row r="99" spans="1:9" ht="21" customHeight="1">
      <c r="A99" s="60"/>
      <c r="B99" s="26" t="s">
        <v>211</v>
      </c>
      <c r="C99" s="26" t="s">
        <v>290</v>
      </c>
      <c r="D99" s="12">
        <v>60006644426</v>
      </c>
      <c r="E99" s="30" t="s">
        <v>212</v>
      </c>
      <c r="F99" s="46">
        <v>418</v>
      </c>
      <c r="G99" s="46">
        <v>0</v>
      </c>
      <c r="H99" s="74">
        <v>0</v>
      </c>
      <c r="I99" s="51">
        <f t="shared" si="1"/>
        <v>418</v>
      </c>
    </row>
    <row r="100" spans="1:9" ht="21" customHeight="1">
      <c r="A100" s="60"/>
      <c r="B100" s="26" t="s">
        <v>213</v>
      </c>
      <c r="C100" s="93"/>
      <c r="D100" s="12">
        <v>60006644431</v>
      </c>
      <c r="E100" s="30" t="s">
        <v>214</v>
      </c>
      <c r="F100" s="46">
        <v>457</v>
      </c>
      <c r="G100" s="46">
        <v>0</v>
      </c>
      <c r="H100" s="74">
        <v>0</v>
      </c>
      <c r="I100" s="51">
        <f t="shared" si="1"/>
        <v>457</v>
      </c>
    </row>
    <row r="101" spans="1:9" ht="21" customHeight="1">
      <c r="A101" s="60"/>
      <c r="B101" s="26" t="s">
        <v>215</v>
      </c>
      <c r="C101" s="26" t="s">
        <v>344</v>
      </c>
      <c r="D101" s="12">
        <v>60006644654</v>
      </c>
      <c r="E101" s="30" t="s">
        <v>216</v>
      </c>
      <c r="F101" s="47">
        <f>175/2</f>
        <v>87.5</v>
      </c>
      <c r="G101" s="47">
        <v>0</v>
      </c>
      <c r="H101" s="75">
        <v>0</v>
      </c>
      <c r="I101" s="92">
        <f t="shared" si="1"/>
        <v>87.5</v>
      </c>
    </row>
    <row r="102" spans="1:9" ht="21" customHeight="1">
      <c r="A102" s="60"/>
      <c r="B102" s="26" t="s">
        <v>217</v>
      </c>
      <c r="C102" s="93"/>
      <c r="D102" s="12">
        <v>60007182237</v>
      </c>
      <c r="E102" s="30" t="s">
        <v>218</v>
      </c>
      <c r="F102" s="46">
        <f>4/2</f>
        <v>2</v>
      </c>
      <c r="G102" s="46">
        <v>0</v>
      </c>
      <c r="H102" s="74">
        <v>0</v>
      </c>
      <c r="I102" s="51">
        <f t="shared" si="1"/>
        <v>2</v>
      </c>
    </row>
    <row r="103" spans="1:9" ht="21" customHeight="1">
      <c r="A103" s="60"/>
      <c r="B103" s="26" t="s">
        <v>219</v>
      </c>
      <c r="C103" s="26" t="s">
        <v>354</v>
      </c>
      <c r="D103" s="12">
        <v>60007843211</v>
      </c>
      <c r="E103" s="30" t="s">
        <v>220</v>
      </c>
      <c r="F103" s="46">
        <v>158</v>
      </c>
      <c r="G103" s="46">
        <v>0</v>
      </c>
      <c r="H103" s="74">
        <v>0</v>
      </c>
      <c r="I103" s="51">
        <f t="shared" si="1"/>
        <v>158</v>
      </c>
    </row>
    <row r="104" spans="1:9" ht="21" customHeight="1">
      <c r="A104" s="60"/>
      <c r="B104" s="26" t="s">
        <v>221</v>
      </c>
      <c r="C104" s="26" t="s">
        <v>355</v>
      </c>
      <c r="D104" s="12">
        <v>60007843225</v>
      </c>
      <c r="E104" s="30" t="s">
        <v>222</v>
      </c>
      <c r="F104" s="46">
        <v>0</v>
      </c>
      <c r="G104" s="46">
        <v>0</v>
      </c>
      <c r="H104" s="74">
        <v>0</v>
      </c>
      <c r="I104" s="51">
        <f t="shared" si="1"/>
        <v>0</v>
      </c>
    </row>
    <row r="105" spans="1:9" ht="21" customHeight="1">
      <c r="A105" s="60"/>
      <c r="B105" s="26" t="s">
        <v>223</v>
      </c>
      <c r="C105" s="26" t="s">
        <v>347</v>
      </c>
      <c r="D105" s="12">
        <v>60007211343</v>
      </c>
      <c r="E105" s="30" t="s">
        <v>224</v>
      </c>
      <c r="F105" s="46">
        <v>0</v>
      </c>
      <c r="G105" s="46">
        <v>0</v>
      </c>
      <c r="H105" s="74">
        <v>0</v>
      </c>
      <c r="I105" s="51">
        <f t="shared" si="1"/>
        <v>0</v>
      </c>
    </row>
    <row r="106" spans="1:9" ht="21" customHeight="1">
      <c r="A106" s="60"/>
      <c r="B106" s="26" t="s">
        <v>225</v>
      </c>
      <c r="C106" s="26" t="s">
        <v>346</v>
      </c>
      <c r="D106" s="12">
        <v>60007211339</v>
      </c>
      <c r="E106" s="30" t="s">
        <v>226</v>
      </c>
      <c r="F106" s="46">
        <f>204/2</f>
        <v>102</v>
      </c>
      <c r="G106" s="46">
        <v>0</v>
      </c>
      <c r="H106" s="74">
        <v>0</v>
      </c>
      <c r="I106" s="51">
        <f t="shared" si="1"/>
        <v>102</v>
      </c>
    </row>
    <row r="107" spans="1:9" ht="21" customHeight="1">
      <c r="A107" s="60"/>
      <c r="B107" s="26" t="s">
        <v>227</v>
      </c>
      <c r="C107" s="26" t="s">
        <v>291</v>
      </c>
      <c r="D107" s="12">
        <v>60007239731</v>
      </c>
      <c r="E107" s="30" t="s">
        <v>228</v>
      </c>
      <c r="F107" s="46">
        <f>2375/2</f>
        <v>1187.5</v>
      </c>
      <c r="G107" s="46">
        <v>0</v>
      </c>
      <c r="H107" s="74">
        <v>0</v>
      </c>
      <c r="I107" s="51">
        <f t="shared" si="1"/>
        <v>1187.5</v>
      </c>
    </row>
    <row r="108" spans="1:9" ht="21" customHeight="1">
      <c r="A108" s="60"/>
      <c r="B108" s="26" t="s">
        <v>229</v>
      </c>
      <c r="C108" s="26" t="s">
        <v>348</v>
      </c>
      <c r="D108" s="12">
        <v>60007483419</v>
      </c>
      <c r="E108" s="30" t="s">
        <v>230</v>
      </c>
      <c r="F108" s="46">
        <f>642/2</f>
        <v>321</v>
      </c>
      <c r="G108" s="46">
        <v>0</v>
      </c>
      <c r="H108" s="74">
        <v>0</v>
      </c>
      <c r="I108" s="51">
        <f t="shared" si="1"/>
        <v>321</v>
      </c>
    </row>
    <row r="109" spans="1:9" ht="21" customHeight="1">
      <c r="A109" s="60"/>
      <c r="B109" s="26" t="s">
        <v>231</v>
      </c>
      <c r="C109" s="26" t="s">
        <v>301</v>
      </c>
      <c r="D109" s="12">
        <v>60006579638</v>
      </c>
      <c r="E109" s="30" t="s">
        <v>232</v>
      </c>
      <c r="F109" s="46">
        <v>0</v>
      </c>
      <c r="G109" s="46">
        <v>0</v>
      </c>
      <c r="H109" s="74">
        <v>0</v>
      </c>
      <c r="I109" s="51">
        <f t="shared" si="1"/>
        <v>0</v>
      </c>
    </row>
    <row r="110" spans="1:9" ht="21" customHeight="1">
      <c r="A110" s="60"/>
      <c r="B110" s="26" t="s">
        <v>233</v>
      </c>
      <c r="C110" s="26" t="s">
        <v>349</v>
      </c>
      <c r="D110" s="12">
        <v>60006579657</v>
      </c>
      <c r="E110" s="30" t="s">
        <v>234</v>
      </c>
      <c r="F110" s="46">
        <v>641</v>
      </c>
      <c r="G110" s="46">
        <v>0</v>
      </c>
      <c r="H110" s="74">
        <v>0</v>
      </c>
      <c r="I110" s="51">
        <f t="shared" si="1"/>
        <v>641</v>
      </c>
    </row>
    <row r="111" spans="1:9" ht="21" customHeight="1">
      <c r="A111" s="60"/>
      <c r="B111" s="26" t="s">
        <v>235</v>
      </c>
      <c r="C111" s="93"/>
      <c r="D111" s="12">
        <v>60006579676</v>
      </c>
      <c r="E111" s="30" t="s">
        <v>236</v>
      </c>
      <c r="F111" s="46">
        <v>17</v>
      </c>
      <c r="G111" s="46">
        <v>0</v>
      </c>
      <c r="H111" s="74">
        <v>0</v>
      </c>
      <c r="I111" s="51">
        <f t="shared" si="1"/>
        <v>17</v>
      </c>
    </row>
    <row r="112" spans="1:9" ht="21" customHeight="1">
      <c r="A112" s="60"/>
      <c r="B112" s="26" t="s">
        <v>237</v>
      </c>
      <c r="C112" s="26" t="s">
        <v>351</v>
      </c>
      <c r="D112" s="12">
        <v>60007631681</v>
      </c>
      <c r="E112" s="30" t="s">
        <v>238</v>
      </c>
      <c r="F112" s="46">
        <v>25</v>
      </c>
      <c r="G112" s="46">
        <v>0</v>
      </c>
      <c r="H112" s="74">
        <v>0</v>
      </c>
      <c r="I112" s="51">
        <f t="shared" si="1"/>
        <v>25</v>
      </c>
    </row>
    <row r="113" spans="1:9" ht="21" customHeight="1">
      <c r="A113" s="60"/>
      <c r="B113" s="26" t="s">
        <v>239</v>
      </c>
      <c r="C113" s="26" t="s">
        <v>357</v>
      </c>
      <c r="D113" s="12">
        <v>60007848373</v>
      </c>
      <c r="E113" s="30" t="s">
        <v>240</v>
      </c>
      <c r="F113" s="46">
        <f>2023/2</f>
        <v>1011.5</v>
      </c>
      <c r="G113" s="46">
        <v>0</v>
      </c>
      <c r="H113" s="74">
        <v>0</v>
      </c>
      <c r="I113" s="51">
        <f t="shared" si="1"/>
        <v>1011.5</v>
      </c>
    </row>
    <row r="114" spans="1:9" ht="21" customHeight="1">
      <c r="A114" s="60"/>
      <c r="B114" s="26" t="s">
        <v>241</v>
      </c>
      <c r="C114" s="26" t="s">
        <v>338</v>
      </c>
      <c r="D114" s="12">
        <v>60006631880</v>
      </c>
      <c r="E114" s="30" t="s">
        <v>242</v>
      </c>
      <c r="F114" s="46">
        <f>366/2</f>
        <v>183</v>
      </c>
      <c r="G114" s="46">
        <v>0</v>
      </c>
      <c r="H114" s="74">
        <v>0</v>
      </c>
      <c r="I114" s="51">
        <f t="shared" si="1"/>
        <v>183</v>
      </c>
    </row>
    <row r="115" spans="1:9" ht="21" customHeight="1">
      <c r="A115" s="64"/>
      <c r="B115" s="26" t="s">
        <v>243</v>
      </c>
      <c r="C115" s="26" t="s">
        <v>320</v>
      </c>
      <c r="D115" s="12">
        <v>60006631920</v>
      </c>
      <c r="E115" s="30" t="s">
        <v>244</v>
      </c>
      <c r="F115" s="49">
        <f>1023/2</f>
        <v>511.5</v>
      </c>
      <c r="G115" s="49">
        <v>0</v>
      </c>
      <c r="H115" s="76">
        <v>0</v>
      </c>
      <c r="I115" s="51">
        <f t="shared" si="1"/>
        <v>511.5</v>
      </c>
    </row>
    <row r="116" spans="1:9" ht="21" customHeight="1">
      <c r="A116" s="64"/>
      <c r="B116" s="26" t="s">
        <v>245</v>
      </c>
      <c r="C116" s="26" t="s">
        <v>340</v>
      </c>
      <c r="D116" s="12">
        <v>60006631987</v>
      </c>
      <c r="E116" s="30" t="s">
        <v>246</v>
      </c>
      <c r="F116" s="49">
        <f>5063/2</f>
        <v>2531.5</v>
      </c>
      <c r="G116" s="49">
        <v>0</v>
      </c>
      <c r="H116" s="76">
        <v>0</v>
      </c>
      <c r="I116" s="51">
        <f t="shared" si="1"/>
        <v>2531.5</v>
      </c>
    </row>
    <row r="117" spans="1:9" ht="21" customHeight="1">
      <c r="A117" s="64"/>
      <c r="B117" s="26" t="s">
        <v>247</v>
      </c>
      <c r="C117" s="26" t="s">
        <v>373</v>
      </c>
      <c r="D117" s="12">
        <v>60006632009</v>
      </c>
      <c r="E117" s="30" t="s">
        <v>248</v>
      </c>
      <c r="F117" s="49">
        <v>1813</v>
      </c>
      <c r="G117" s="49">
        <v>0</v>
      </c>
      <c r="H117" s="76">
        <v>0</v>
      </c>
      <c r="I117" s="51">
        <f t="shared" si="1"/>
        <v>1813</v>
      </c>
    </row>
    <row r="118" spans="1:9" ht="21" customHeight="1">
      <c r="A118" s="64"/>
      <c r="B118" s="26" t="s">
        <v>249</v>
      </c>
      <c r="C118" s="26" t="s">
        <v>350</v>
      </c>
      <c r="D118" s="12">
        <v>60007611240</v>
      </c>
      <c r="E118" s="30" t="s">
        <v>250</v>
      </c>
      <c r="F118" s="49">
        <f>3470/2</f>
        <v>1735</v>
      </c>
      <c r="G118" s="49">
        <v>0</v>
      </c>
      <c r="H118" s="76">
        <v>0</v>
      </c>
      <c r="I118" s="51">
        <f t="shared" si="1"/>
        <v>1735</v>
      </c>
    </row>
    <row r="119" spans="1:9" ht="21" customHeight="1">
      <c r="A119" s="64"/>
      <c r="B119" s="26" t="s">
        <v>251</v>
      </c>
      <c r="C119" s="26" t="s">
        <v>337</v>
      </c>
      <c r="D119" s="12">
        <v>60006613294</v>
      </c>
      <c r="E119" s="30" t="s">
        <v>252</v>
      </c>
      <c r="F119" s="49">
        <f>635/2</f>
        <v>317.5</v>
      </c>
      <c r="G119" s="49">
        <v>0</v>
      </c>
      <c r="H119" s="76">
        <v>0</v>
      </c>
      <c r="I119" s="51">
        <f t="shared" si="1"/>
        <v>317.5</v>
      </c>
    </row>
    <row r="120" spans="1:9" ht="21" customHeight="1">
      <c r="A120" s="64"/>
      <c r="B120" s="26" t="s">
        <v>253</v>
      </c>
      <c r="C120" s="26" t="s">
        <v>303</v>
      </c>
      <c r="D120" s="12">
        <v>60006631725</v>
      </c>
      <c r="E120" s="30" t="s">
        <v>254</v>
      </c>
      <c r="F120" s="49">
        <f>1799/2</f>
        <v>899.5</v>
      </c>
      <c r="G120" s="49">
        <v>0</v>
      </c>
      <c r="H120" s="76">
        <v>0</v>
      </c>
      <c r="I120" s="51">
        <f t="shared" si="1"/>
        <v>899.5</v>
      </c>
    </row>
    <row r="121" spans="1:9" ht="21" customHeight="1">
      <c r="A121" s="64"/>
      <c r="B121" s="26" t="s">
        <v>255</v>
      </c>
      <c r="C121" s="26" t="s">
        <v>304</v>
      </c>
      <c r="D121" s="12">
        <v>60006631818</v>
      </c>
      <c r="E121" s="30" t="s">
        <v>256</v>
      </c>
      <c r="F121" s="49">
        <f>80/2+64/2</f>
        <v>72</v>
      </c>
      <c r="G121" s="49">
        <v>0</v>
      </c>
      <c r="H121" s="76">
        <v>0</v>
      </c>
      <c r="I121" s="51">
        <f aca="true" t="shared" si="2" ref="I121:I130">F121+G121+H121</f>
        <v>72</v>
      </c>
    </row>
    <row r="122" spans="1:9" ht="21" customHeight="1">
      <c r="A122" s="64"/>
      <c r="B122" s="25" t="s">
        <v>257</v>
      </c>
      <c r="C122" s="95"/>
      <c r="D122" s="14">
        <v>60006631824</v>
      </c>
      <c r="E122" s="45" t="s">
        <v>258</v>
      </c>
      <c r="F122" s="49">
        <f>9801*0.5</f>
        <v>4900.5</v>
      </c>
      <c r="G122" s="49">
        <v>0</v>
      </c>
      <c r="H122" s="76">
        <v>0</v>
      </c>
      <c r="I122" s="51">
        <f t="shared" si="2"/>
        <v>4900.5</v>
      </c>
    </row>
    <row r="123" spans="1:9" ht="21" customHeight="1">
      <c r="A123" s="64"/>
      <c r="B123" s="25" t="s">
        <v>259</v>
      </c>
      <c r="C123" s="25" t="s">
        <v>345</v>
      </c>
      <c r="D123" s="14">
        <v>60006872372</v>
      </c>
      <c r="E123" s="45" t="s">
        <v>260</v>
      </c>
      <c r="F123" s="49">
        <v>110</v>
      </c>
      <c r="G123" s="49">
        <v>0</v>
      </c>
      <c r="H123" s="76">
        <v>0</v>
      </c>
      <c r="I123" s="51">
        <f t="shared" si="2"/>
        <v>110</v>
      </c>
    </row>
    <row r="124" spans="1:9" ht="21" customHeight="1">
      <c r="A124" s="64"/>
      <c r="B124" s="25" t="s">
        <v>261</v>
      </c>
      <c r="C124" s="25" t="s">
        <v>321</v>
      </c>
      <c r="D124" s="14">
        <v>60006974384</v>
      </c>
      <c r="E124" s="45" t="s">
        <v>262</v>
      </c>
      <c r="F124" s="49">
        <f>919/2</f>
        <v>459.5</v>
      </c>
      <c r="G124" s="49">
        <v>0</v>
      </c>
      <c r="H124" s="76">
        <v>0</v>
      </c>
      <c r="I124" s="51">
        <f t="shared" si="2"/>
        <v>459.5</v>
      </c>
    </row>
    <row r="125" spans="1:9" ht="21" customHeight="1">
      <c r="A125" s="64"/>
      <c r="B125" s="25" t="s">
        <v>263</v>
      </c>
      <c r="C125" s="25" t="s">
        <v>368</v>
      </c>
      <c r="D125" s="14">
        <v>60006581324</v>
      </c>
      <c r="E125" s="45" t="s">
        <v>264</v>
      </c>
      <c r="F125" s="49">
        <v>3586</v>
      </c>
      <c r="G125" s="49">
        <v>0</v>
      </c>
      <c r="H125" s="76">
        <v>0</v>
      </c>
      <c r="I125" s="51">
        <f t="shared" si="2"/>
        <v>3586</v>
      </c>
    </row>
    <row r="126" spans="1:9" ht="21" customHeight="1">
      <c r="A126" s="64"/>
      <c r="B126" s="25" t="s">
        <v>265</v>
      </c>
      <c r="C126" s="25" t="s">
        <v>352</v>
      </c>
      <c r="D126" s="14">
        <v>60007651627</v>
      </c>
      <c r="E126" s="45" t="s">
        <v>266</v>
      </c>
      <c r="F126" s="49">
        <v>39</v>
      </c>
      <c r="G126" s="49">
        <v>0</v>
      </c>
      <c r="H126" s="76">
        <v>0</v>
      </c>
      <c r="I126" s="51">
        <f t="shared" si="2"/>
        <v>39</v>
      </c>
    </row>
    <row r="127" spans="1:9" ht="21" customHeight="1">
      <c r="A127" s="64"/>
      <c r="B127" s="25" t="s">
        <v>267</v>
      </c>
      <c r="C127" s="95"/>
      <c r="D127" s="14">
        <v>83007351147</v>
      </c>
      <c r="E127" s="45" t="s">
        <v>268</v>
      </c>
      <c r="F127" s="49">
        <v>34</v>
      </c>
      <c r="G127" s="49">
        <v>0</v>
      </c>
      <c r="H127" s="76">
        <v>0</v>
      </c>
      <c r="I127" s="51">
        <f t="shared" si="2"/>
        <v>34</v>
      </c>
    </row>
    <row r="128" spans="1:9" ht="21" customHeight="1">
      <c r="A128" s="64"/>
      <c r="B128" s="25" t="s">
        <v>269</v>
      </c>
      <c r="C128" s="25"/>
      <c r="D128" s="14">
        <v>83007705623</v>
      </c>
      <c r="E128" s="45" t="s">
        <v>270</v>
      </c>
      <c r="F128" s="49">
        <v>18</v>
      </c>
      <c r="G128" s="49">
        <v>0</v>
      </c>
      <c r="H128" s="76">
        <v>0</v>
      </c>
      <c r="I128" s="51">
        <f t="shared" si="2"/>
        <v>18</v>
      </c>
    </row>
    <row r="129" spans="1:9" ht="21" customHeight="1">
      <c r="A129" s="64"/>
      <c r="B129" s="25" t="s">
        <v>271</v>
      </c>
      <c r="C129" s="25"/>
      <c r="D129" s="14">
        <v>83007812488</v>
      </c>
      <c r="E129" s="45" t="s">
        <v>272</v>
      </c>
      <c r="F129" s="49">
        <v>377</v>
      </c>
      <c r="G129" s="49">
        <v>0</v>
      </c>
      <c r="H129" s="76">
        <v>0</v>
      </c>
      <c r="I129" s="51">
        <f t="shared" si="2"/>
        <v>377</v>
      </c>
    </row>
    <row r="130" spans="1:9" ht="21" customHeight="1">
      <c r="A130" s="64"/>
      <c r="B130" s="25" t="s">
        <v>273</v>
      </c>
      <c r="C130" s="25"/>
      <c r="D130" s="14">
        <v>83007946440</v>
      </c>
      <c r="E130" s="45" t="s">
        <v>274</v>
      </c>
      <c r="F130" s="49"/>
      <c r="G130" s="49"/>
      <c r="H130" s="76"/>
      <c r="I130" s="51">
        <f t="shared" si="2"/>
        <v>0</v>
      </c>
    </row>
    <row r="131" spans="1:9" ht="21" customHeight="1" thickBot="1">
      <c r="A131" s="65" t="s">
        <v>0</v>
      </c>
      <c r="B131" s="66"/>
      <c r="C131" s="66"/>
      <c r="D131" s="13"/>
      <c r="E131" s="13"/>
      <c r="F131" s="69"/>
      <c r="G131" s="69"/>
      <c r="H131" s="77"/>
      <c r="I131" s="70">
        <f>SUM(I8:I130)</f>
        <v>158989.23333333334</v>
      </c>
    </row>
    <row r="132" ht="13.5" thickTop="1"/>
  </sheetData>
  <sheetProtection/>
  <mergeCells count="3">
    <mergeCell ref="G3:I3"/>
    <mergeCell ref="F4:I4"/>
    <mergeCell ref="F2:I2"/>
  </mergeCells>
  <printOptions horizontalCentered="1"/>
  <pageMargins left="0.3937007874015748" right="0.3937007874015748" top="0.5905511811023623" bottom="0.5905511811023623" header="0" footer="0"/>
  <pageSetup fitToHeight="0" fitToWidth="1" horizontalDpi="300" verticalDpi="300" orientation="portrait" paperSize="9" scale="31" r:id="rId1"/>
  <headerFooter alignWithMargins="0">
    <oddHeader>&amp;R&amp;D</oddHeader>
    <oddFooter>&amp;CPágina &amp;P de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2:I131"/>
  <sheetViews>
    <sheetView view="pageBreakPreview" zoomScaleSheetLayoutView="100" zoomScalePageLayoutView="0" workbookViewId="0" topLeftCell="D126">
      <selection activeCell="A56" sqref="A54:IV56"/>
    </sheetView>
  </sheetViews>
  <sheetFormatPr defaultColWidth="11.421875" defaultRowHeight="12.75"/>
  <cols>
    <col min="1" max="1" width="15.140625" style="1" customWidth="1"/>
    <col min="2" max="2" width="88.8515625" style="21" customWidth="1"/>
    <col min="3" max="3" width="102.28125" style="21" customWidth="1"/>
    <col min="4" max="4" width="23.00390625" style="1" customWidth="1"/>
    <col min="5" max="5" width="34.28125" style="1" hidden="1" customWidth="1"/>
    <col min="6" max="6" width="22.57421875" style="2" customWidth="1"/>
    <col min="7" max="7" width="21.28125" style="2" customWidth="1"/>
    <col min="8" max="8" width="19.140625" style="2" customWidth="1"/>
    <col min="9" max="9" width="18.28125" style="2" bestFit="1" customWidth="1"/>
    <col min="10" max="10" width="11.421875" style="1" customWidth="1"/>
    <col min="11" max="11" width="11.57421875" style="1" bestFit="1" customWidth="1"/>
    <col min="12" max="16384" width="11.421875" style="1" customWidth="1"/>
  </cols>
  <sheetData>
    <row r="1" ht="15.75" customHeight="1"/>
    <row r="2" spans="7:9" ht="42.75" customHeight="1">
      <c r="G2" s="96" t="s">
        <v>9</v>
      </c>
      <c r="H2" s="96"/>
      <c r="I2" s="96"/>
    </row>
    <row r="3" spans="8:9" ht="33.75" customHeight="1">
      <c r="H3" s="97"/>
      <c r="I3" s="97"/>
    </row>
    <row r="4" spans="7:9" ht="21.75" customHeight="1">
      <c r="G4" s="98" t="s">
        <v>281</v>
      </c>
      <c r="H4" s="98"/>
      <c r="I4" s="98"/>
    </row>
    <row r="5" ht="15.75" customHeight="1"/>
    <row r="6" spans="1:8" ht="15.75" customHeight="1" thickBot="1">
      <c r="A6" s="3"/>
      <c r="B6" s="22"/>
      <c r="C6" s="22"/>
      <c r="D6" s="3"/>
      <c r="E6" s="3"/>
      <c r="F6" s="4"/>
      <c r="G6" s="4"/>
      <c r="H6" s="4"/>
    </row>
    <row r="7" spans="1:9" ht="21" customHeight="1" thickTop="1">
      <c r="A7" s="5" t="s">
        <v>1</v>
      </c>
      <c r="B7" s="23" t="s">
        <v>3</v>
      </c>
      <c r="C7" s="23" t="s">
        <v>285</v>
      </c>
      <c r="D7" s="11" t="s">
        <v>2</v>
      </c>
      <c r="E7" s="16" t="s">
        <v>11</v>
      </c>
      <c r="F7" s="6" t="s">
        <v>6</v>
      </c>
      <c r="G7" s="6" t="s">
        <v>7</v>
      </c>
      <c r="H7" s="6" t="s">
        <v>8</v>
      </c>
      <c r="I7" s="7" t="s">
        <v>0</v>
      </c>
    </row>
    <row r="8" spans="1:9" ht="21" customHeight="1">
      <c r="A8" s="27"/>
      <c r="B8" s="72" t="s">
        <v>15</v>
      </c>
      <c r="C8" s="72" t="s">
        <v>316</v>
      </c>
      <c r="D8" s="12">
        <v>83006884161</v>
      </c>
      <c r="E8" s="30" t="s">
        <v>16</v>
      </c>
      <c r="F8" s="8">
        <v>234.25</v>
      </c>
      <c r="G8" s="8">
        <v>6.46</v>
      </c>
      <c r="H8" s="8">
        <v>1.32</v>
      </c>
      <c r="I8" s="9">
        <f aca="true" t="shared" si="0" ref="I8:I58">SUM(F8:H8)</f>
        <v>242.03</v>
      </c>
    </row>
    <row r="9" spans="1:9" ht="21" customHeight="1">
      <c r="A9" s="27"/>
      <c r="B9" s="26" t="s">
        <v>17</v>
      </c>
      <c r="C9" s="26" t="s">
        <v>314</v>
      </c>
      <c r="D9" s="12">
        <v>83001699293</v>
      </c>
      <c r="E9" s="30" t="s">
        <v>19</v>
      </c>
      <c r="F9" s="8">
        <v>255.3</v>
      </c>
      <c r="G9" s="8">
        <v>7.5</v>
      </c>
      <c r="H9" s="8">
        <v>0.38</v>
      </c>
      <c r="I9" s="9">
        <f t="shared" si="0"/>
        <v>263.18</v>
      </c>
    </row>
    <row r="10" spans="1:9" ht="21" customHeight="1">
      <c r="A10" s="27"/>
      <c r="B10" s="26" t="s">
        <v>18</v>
      </c>
      <c r="C10" s="26" t="s">
        <v>324</v>
      </c>
      <c r="D10" s="12">
        <v>83002793469</v>
      </c>
      <c r="E10" s="30" t="s">
        <v>20</v>
      </c>
      <c r="F10" s="8">
        <v>637.17</v>
      </c>
      <c r="G10" s="8">
        <v>17.95</v>
      </c>
      <c r="H10" s="8">
        <v>2.72</v>
      </c>
      <c r="I10" s="9">
        <f t="shared" si="0"/>
        <v>657.84</v>
      </c>
    </row>
    <row r="11" spans="1:9" ht="21" customHeight="1">
      <c r="A11" s="27"/>
      <c r="B11" s="26" t="s">
        <v>21</v>
      </c>
      <c r="C11" s="26" t="s">
        <v>365</v>
      </c>
      <c r="D11" s="12">
        <v>83005319585</v>
      </c>
      <c r="E11" s="30" t="s">
        <v>22</v>
      </c>
      <c r="F11" s="8">
        <v>212.95</v>
      </c>
      <c r="G11" s="8">
        <v>5.79</v>
      </c>
      <c r="H11" s="8">
        <v>1.4</v>
      </c>
      <c r="I11" s="9">
        <f t="shared" si="0"/>
        <v>220.14</v>
      </c>
    </row>
    <row r="12" spans="1:9" ht="21" customHeight="1">
      <c r="A12" s="27"/>
      <c r="B12" s="26" t="s">
        <v>23</v>
      </c>
      <c r="C12" s="26" t="s">
        <v>325</v>
      </c>
      <c r="D12" s="61">
        <v>999395654431</v>
      </c>
      <c r="E12" s="30" t="s">
        <v>24</v>
      </c>
      <c r="F12" s="8">
        <v>1185.87</v>
      </c>
      <c r="G12" s="8">
        <v>34.41</v>
      </c>
      <c r="H12" s="8">
        <v>2.72</v>
      </c>
      <c r="I12" s="9">
        <f t="shared" si="0"/>
        <v>1223</v>
      </c>
    </row>
    <row r="13" spans="1:9" ht="21" customHeight="1">
      <c r="A13" s="27"/>
      <c r="B13" s="26" t="s">
        <v>25</v>
      </c>
      <c r="C13" s="26" t="s">
        <v>315</v>
      </c>
      <c r="D13" s="61">
        <v>999395655454</v>
      </c>
      <c r="E13" s="30" t="s">
        <v>26</v>
      </c>
      <c r="F13" s="8">
        <v>745.81</v>
      </c>
      <c r="G13" s="8">
        <v>21.21</v>
      </c>
      <c r="H13" s="8">
        <v>2.72</v>
      </c>
      <c r="I13" s="9">
        <f t="shared" si="0"/>
        <v>769.74</v>
      </c>
    </row>
    <row r="14" spans="1:9" ht="21" customHeight="1">
      <c r="A14" s="27"/>
      <c r="B14" s="26" t="s">
        <v>27</v>
      </c>
      <c r="C14" s="26" t="s">
        <v>326</v>
      </c>
      <c r="D14" s="61">
        <v>512012286</v>
      </c>
      <c r="E14" s="30" t="s">
        <v>28</v>
      </c>
      <c r="F14" s="8">
        <v>605.87</v>
      </c>
      <c r="G14" s="8">
        <v>17.01</v>
      </c>
      <c r="H14" s="8">
        <v>2.72</v>
      </c>
      <c r="I14" s="9">
        <f t="shared" si="0"/>
        <v>625.6</v>
      </c>
    </row>
    <row r="15" spans="1:9" ht="21" customHeight="1">
      <c r="A15" s="27"/>
      <c r="B15" s="26" t="s">
        <v>29</v>
      </c>
      <c r="C15" s="26" t="s">
        <v>327</v>
      </c>
      <c r="D15" s="61">
        <v>999395659634</v>
      </c>
      <c r="E15" s="30" t="s">
        <v>30</v>
      </c>
      <c r="F15" s="8">
        <v>880.81</v>
      </c>
      <c r="G15" s="8">
        <v>26.17</v>
      </c>
      <c r="H15" s="8">
        <v>0.59</v>
      </c>
      <c r="I15" s="9">
        <f t="shared" si="0"/>
        <v>907.5699999999999</v>
      </c>
    </row>
    <row r="16" spans="1:9" ht="21" customHeight="1">
      <c r="A16" s="27"/>
      <c r="B16" s="26" t="s">
        <v>31</v>
      </c>
      <c r="C16" s="26" t="s">
        <v>317</v>
      </c>
      <c r="D16" s="61">
        <v>999395660462</v>
      </c>
      <c r="E16" s="30" t="s">
        <v>32</v>
      </c>
      <c r="F16" s="8">
        <v>459.81</v>
      </c>
      <c r="G16" s="8">
        <v>13.19</v>
      </c>
      <c r="H16" s="8">
        <v>1.4</v>
      </c>
      <c r="I16" s="9">
        <f t="shared" si="0"/>
        <v>474.4</v>
      </c>
    </row>
    <row r="17" spans="1:9" ht="21" customHeight="1">
      <c r="A17" s="27"/>
      <c r="B17" s="26" t="s">
        <v>33</v>
      </c>
      <c r="C17" s="26" t="s">
        <v>366</v>
      </c>
      <c r="D17" s="61">
        <v>999395662284</v>
      </c>
      <c r="E17" s="30" t="s">
        <v>34</v>
      </c>
      <c r="F17" s="8">
        <v>1443.85</v>
      </c>
      <c r="G17" s="8">
        <v>42.71</v>
      </c>
      <c r="H17" s="8">
        <v>1.4</v>
      </c>
      <c r="I17" s="9">
        <f t="shared" si="0"/>
        <v>1487.96</v>
      </c>
    </row>
    <row r="18" spans="1:9" ht="21" customHeight="1">
      <c r="A18" s="27"/>
      <c r="B18" s="26" t="s">
        <v>35</v>
      </c>
      <c r="C18" s="26" t="s">
        <v>292</v>
      </c>
      <c r="D18" s="61">
        <v>999395662947</v>
      </c>
      <c r="E18" s="30" t="s">
        <v>36</v>
      </c>
      <c r="F18" s="8">
        <v>525.26</v>
      </c>
      <c r="G18" s="8">
        <v>15.19</v>
      </c>
      <c r="H18" s="8">
        <v>1.32</v>
      </c>
      <c r="I18" s="9">
        <f t="shared" si="0"/>
        <v>541.7700000000001</v>
      </c>
    </row>
    <row r="19" spans="1:9" ht="21" customHeight="1">
      <c r="A19" s="27"/>
      <c r="B19" s="26" t="s">
        <v>37</v>
      </c>
      <c r="C19" s="26" t="s">
        <v>369</v>
      </c>
      <c r="D19" s="61">
        <v>999395663410</v>
      </c>
      <c r="E19" s="30" t="s">
        <v>38</v>
      </c>
      <c r="F19" s="8">
        <v>496.09</v>
      </c>
      <c r="G19" s="8">
        <v>14.28</v>
      </c>
      <c r="H19" s="8">
        <v>1.4</v>
      </c>
      <c r="I19" s="9">
        <f t="shared" si="0"/>
        <v>511.7699999999999</v>
      </c>
    </row>
    <row r="20" spans="1:9" ht="21" customHeight="1">
      <c r="A20" s="27"/>
      <c r="B20" s="26" t="s">
        <v>39</v>
      </c>
      <c r="C20" s="26" t="s">
        <v>293</v>
      </c>
      <c r="D20" s="61">
        <v>999395665004</v>
      </c>
      <c r="E20" s="30" t="s">
        <v>40</v>
      </c>
      <c r="F20" s="8">
        <v>909.06</v>
      </c>
      <c r="G20" s="8">
        <v>26.71</v>
      </c>
      <c r="H20" s="8">
        <v>1.32</v>
      </c>
      <c r="I20" s="9">
        <f t="shared" si="0"/>
        <v>937.09</v>
      </c>
    </row>
    <row r="21" spans="1:9" ht="21" customHeight="1">
      <c r="A21" s="27"/>
      <c r="B21" s="26" t="s">
        <v>41</v>
      </c>
      <c r="C21" s="26" t="s">
        <v>367</v>
      </c>
      <c r="D21" s="61">
        <v>999395665500</v>
      </c>
      <c r="E21" s="30" t="s">
        <v>42</v>
      </c>
      <c r="F21" s="8">
        <v>552.76</v>
      </c>
      <c r="G21" s="8">
        <v>15.98</v>
      </c>
      <c r="H21" s="8">
        <v>1.4</v>
      </c>
      <c r="I21" s="9">
        <f t="shared" si="0"/>
        <v>570.14</v>
      </c>
    </row>
    <row r="22" spans="1:9" ht="21" customHeight="1">
      <c r="A22" s="27"/>
      <c r="B22" s="26" t="s">
        <v>43</v>
      </c>
      <c r="C22" s="93"/>
      <c r="D22" s="61">
        <v>999395674678</v>
      </c>
      <c r="E22" s="30" t="s">
        <v>44</v>
      </c>
      <c r="F22" s="8">
        <v>251.87</v>
      </c>
      <c r="G22" s="8">
        <v>6.86</v>
      </c>
      <c r="H22" s="8">
        <v>1.62</v>
      </c>
      <c r="I22" s="9">
        <f t="shared" si="0"/>
        <v>260.35</v>
      </c>
    </row>
    <row r="23" spans="1:9" ht="21" customHeight="1">
      <c r="A23" s="27"/>
      <c r="B23" s="26" t="s">
        <v>45</v>
      </c>
      <c r="C23" s="26" t="s">
        <v>307</v>
      </c>
      <c r="D23" s="61">
        <v>999395675751</v>
      </c>
      <c r="E23" s="30" t="s">
        <v>46</v>
      </c>
      <c r="F23" s="8">
        <v>713.33</v>
      </c>
      <c r="G23" s="8">
        <v>20.8</v>
      </c>
      <c r="H23" s="8">
        <v>1.4</v>
      </c>
      <c r="I23" s="9">
        <f t="shared" si="0"/>
        <v>735.53</v>
      </c>
    </row>
    <row r="24" spans="1:9" s="19" customFormat="1" ht="21" customHeight="1">
      <c r="A24" s="27"/>
      <c r="B24" s="26" t="s">
        <v>47</v>
      </c>
      <c r="C24" s="26" t="s">
        <v>318</v>
      </c>
      <c r="D24" s="61">
        <v>999395676257</v>
      </c>
      <c r="E24" s="30" t="s">
        <v>48</v>
      </c>
      <c r="F24" s="8">
        <v>248.56</v>
      </c>
      <c r="G24" s="8">
        <v>6.85</v>
      </c>
      <c r="H24" s="8">
        <v>1.4</v>
      </c>
      <c r="I24" s="9">
        <f t="shared" si="0"/>
        <v>256.81</v>
      </c>
    </row>
    <row r="25" spans="1:9" s="19" customFormat="1" ht="21" customHeight="1">
      <c r="A25" s="27"/>
      <c r="B25" s="26" t="s">
        <v>49</v>
      </c>
      <c r="C25" s="26" t="s">
        <v>328</v>
      </c>
      <c r="D25" s="61">
        <v>999395676905</v>
      </c>
      <c r="E25" s="30" t="s">
        <v>50</v>
      </c>
      <c r="F25" s="8">
        <v>229.02</v>
      </c>
      <c r="G25" s="8">
        <v>6.31</v>
      </c>
      <c r="H25" s="8">
        <v>1.32</v>
      </c>
      <c r="I25" s="9">
        <f t="shared" si="0"/>
        <v>236.65</v>
      </c>
    </row>
    <row r="26" spans="1:9" ht="21" customHeight="1">
      <c r="A26" s="27"/>
      <c r="B26" s="26" t="s">
        <v>51</v>
      </c>
      <c r="C26" s="93"/>
      <c r="D26" s="61">
        <v>999395677339</v>
      </c>
      <c r="E26" s="30" t="s">
        <v>52</v>
      </c>
      <c r="F26" s="8">
        <v>495.59</v>
      </c>
      <c r="G26" s="8">
        <v>14.3</v>
      </c>
      <c r="H26" s="8">
        <v>1.32</v>
      </c>
      <c r="I26" s="9">
        <f t="shared" si="0"/>
        <v>511.21</v>
      </c>
    </row>
    <row r="27" spans="1:9" ht="21" customHeight="1">
      <c r="A27" s="27"/>
      <c r="B27" s="26" t="s">
        <v>53</v>
      </c>
      <c r="C27" s="93"/>
      <c r="D27" s="61">
        <v>999395680029</v>
      </c>
      <c r="E27" s="30" t="s">
        <v>54</v>
      </c>
      <c r="F27" s="8">
        <v>378.9</v>
      </c>
      <c r="G27" s="8">
        <v>10.8</v>
      </c>
      <c r="H27" s="8">
        <v>1.32</v>
      </c>
      <c r="I27" s="9">
        <f t="shared" si="0"/>
        <v>391.02</v>
      </c>
    </row>
    <row r="28" spans="1:9" ht="21" customHeight="1">
      <c r="A28" s="27"/>
      <c r="B28" s="26" t="s">
        <v>55</v>
      </c>
      <c r="C28" s="26" t="s">
        <v>294</v>
      </c>
      <c r="D28" s="61">
        <v>999395682858</v>
      </c>
      <c r="E28" s="30" t="s">
        <v>56</v>
      </c>
      <c r="F28" s="8">
        <v>409.41</v>
      </c>
      <c r="G28" s="8">
        <v>11.72</v>
      </c>
      <c r="H28" s="8">
        <v>1.32</v>
      </c>
      <c r="I28" s="9">
        <f t="shared" si="0"/>
        <v>422.45000000000005</v>
      </c>
    </row>
    <row r="29" spans="1:9" ht="21" customHeight="1">
      <c r="A29" s="27"/>
      <c r="B29" s="26" t="s">
        <v>57</v>
      </c>
      <c r="C29" s="26" t="s">
        <v>295</v>
      </c>
      <c r="D29" s="12">
        <v>512095448</v>
      </c>
      <c r="E29" s="30" t="s">
        <v>58</v>
      </c>
      <c r="F29" s="8">
        <v>847.88</v>
      </c>
      <c r="G29" s="8">
        <v>24.87</v>
      </c>
      <c r="H29" s="8">
        <v>1.32</v>
      </c>
      <c r="I29" s="9">
        <f t="shared" si="0"/>
        <v>874.07</v>
      </c>
    </row>
    <row r="30" spans="1:9" ht="21" customHeight="1">
      <c r="A30" s="27"/>
      <c r="B30" s="26" t="s">
        <v>59</v>
      </c>
      <c r="C30" s="26" t="s">
        <v>296</v>
      </c>
      <c r="D30" s="61">
        <v>999395695033</v>
      </c>
      <c r="E30" s="30" t="s">
        <v>60</v>
      </c>
      <c r="F30" s="8">
        <v>459.245</v>
      </c>
      <c r="G30" s="8">
        <v>13.65</v>
      </c>
      <c r="H30" s="8">
        <v>0.3</v>
      </c>
      <c r="I30" s="9">
        <f t="shared" si="0"/>
        <v>473.195</v>
      </c>
    </row>
    <row r="31" spans="1:9" ht="21" customHeight="1">
      <c r="A31" s="27"/>
      <c r="B31" s="26" t="s">
        <v>61</v>
      </c>
      <c r="C31" s="26" t="s">
        <v>296</v>
      </c>
      <c r="D31" s="61">
        <v>999395696742</v>
      </c>
      <c r="E31" s="30" t="s">
        <v>62</v>
      </c>
      <c r="F31" s="8">
        <f>1433.27/2</f>
        <v>716.635</v>
      </c>
      <c r="G31" s="8">
        <f>42.74/2</f>
        <v>21.37</v>
      </c>
      <c r="H31" s="8">
        <f>0.6/2</f>
        <v>0.3</v>
      </c>
      <c r="I31" s="9">
        <f t="shared" si="0"/>
        <v>738.305</v>
      </c>
    </row>
    <row r="32" spans="1:9" ht="21" customHeight="1">
      <c r="A32" s="27"/>
      <c r="B32" s="26" t="s">
        <v>63</v>
      </c>
      <c r="C32" s="26" t="s">
        <v>308</v>
      </c>
      <c r="D32" s="61">
        <v>999395697615</v>
      </c>
      <c r="E32" s="30" t="s">
        <v>64</v>
      </c>
      <c r="F32" s="82">
        <f>900.29/2</f>
        <v>450.145</v>
      </c>
      <c r="G32" s="82">
        <f>26.68/2</f>
        <v>13.34</v>
      </c>
      <c r="H32" s="82">
        <f>0.77/2</f>
        <v>0.385</v>
      </c>
      <c r="I32" s="83">
        <f t="shared" si="0"/>
        <v>463.86999999999995</v>
      </c>
    </row>
    <row r="33" spans="1:9" ht="21" customHeight="1">
      <c r="A33" s="27"/>
      <c r="B33" s="26" t="s">
        <v>65</v>
      </c>
      <c r="C33" s="26" t="s">
        <v>297</v>
      </c>
      <c r="D33" s="61">
        <v>999395698321</v>
      </c>
      <c r="E33" s="30" t="s">
        <v>66</v>
      </c>
      <c r="F33" s="8">
        <f>871.38/2</f>
        <v>435.69</v>
      </c>
      <c r="G33" s="8">
        <f>25.79/2</f>
        <v>12.895</v>
      </c>
      <c r="H33" s="8">
        <f>0.82/2</f>
        <v>0.41</v>
      </c>
      <c r="I33" s="9">
        <f t="shared" si="0"/>
        <v>448.995</v>
      </c>
    </row>
    <row r="34" spans="1:9" ht="21" customHeight="1">
      <c r="A34" s="27"/>
      <c r="B34" s="26" t="s">
        <v>67</v>
      </c>
      <c r="C34" s="26" t="s">
        <v>309</v>
      </c>
      <c r="D34" s="62">
        <v>999395698661</v>
      </c>
      <c r="E34" s="31" t="s">
        <v>68</v>
      </c>
      <c r="F34" s="18">
        <f>407.62/2</f>
        <v>203.81</v>
      </c>
      <c r="G34" s="18">
        <f>11.89/2</f>
        <v>5.945</v>
      </c>
      <c r="H34" s="18">
        <f>0.8/2</f>
        <v>0.4</v>
      </c>
      <c r="I34" s="9">
        <f t="shared" si="0"/>
        <v>210.155</v>
      </c>
    </row>
    <row r="35" spans="1:9" s="20" customFormat="1" ht="21" customHeight="1">
      <c r="A35" s="27"/>
      <c r="B35" s="26" t="s">
        <v>69</v>
      </c>
      <c r="C35" s="26"/>
      <c r="D35" s="61">
        <v>999395699042</v>
      </c>
      <c r="E35" s="30" t="s">
        <v>70</v>
      </c>
      <c r="F35" s="8">
        <f>1066.39/2</f>
        <v>533.195</v>
      </c>
      <c r="G35" s="8">
        <f>31.65/2</f>
        <v>15.825</v>
      </c>
      <c r="H35" s="8">
        <f>0.79/2</f>
        <v>0.395</v>
      </c>
      <c r="I35" s="9">
        <f t="shared" si="0"/>
        <v>549.4150000000001</v>
      </c>
    </row>
    <row r="36" spans="1:9" ht="21" customHeight="1">
      <c r="A36" s="27"/>
      <c r="B36" s="26" t="s">
        <v>71</v>
      </c>
      <c r="C36" s="93"/>
      <c r="D36" s="61">
        <v>999395699192</v>
      </c>
      <c r="E36" s="30" t="s">
        <v>72</v>
      </c>
      <c r="F36" s="18">
        <f>393.97/2</f>
        <v>196.985</v>
      </c>
      <c r="G36" s="18">
        <f>11.44/2</f>
        <v>5.72</v>
      </c>
      <c r="H36" s="18">
        <f>0.88/2</f>
        <v>0.44</v>
      </c>
      <c r="I36" s="87">
        <f t="shared" si="0"/>
        <v>203.145</v>
      </c>
    </row>
    <row r="37" spans="1:9" ht="21" customHeight="1">
      <c r="A37" s="27"/>
      <c r="B37" s="26" t="s">
        <v>73</v>
      </c>
      <c r="C37" s="93"/>
      <c r="D37" s="61">
        <v>999395699382</v>
      </c>
      <c r="E37" s="30" t="s">
        <v>74</v>
      </c>
      <c r="F37" s="8">
        <f>414.88/2</f>
        <v>207.44</v>
      </c>
      <c r="G37" s="8">
        <f>12.12/2</f>
        <v>6.06</v>
      </c>
      <c r="H37" s="8">
        <f>0.77/2</f>
        <v>0.385</v>
      </c>
      <c r="I37" s="9">
        <f t="shared" si="0"/>
        <v>213.885</v>
      </c>
    </row>
    <row r="38" spans="1:9" ht="21" customHeight="1">
      <c r="A38" s="27"/>
      <c r="B38" s="26" t="s">
        <v>75</v>
      </c>
      <c r="C38" s="26" t="s">
        <v>298</v>
      </c>
      <c r="D38" s="61">
        <v>999395699631</v>
      </c>
      <c r="E38" s="30" t="s">
        <v>76</v>
      </c>
      <c r="F38" s="8">
        <f>204.1/2</f>
        <v>102.05</v>
      </c>
      <c r="G38" s="8">
        <f>5.76/2</f>
        <v>2.88</v>
      </c>
      <c r="H38" s="8">
        <f>0.85/2</f>
        <v>0.425</v>
      </c>
      <c r="I38" s="9">
        <f t="shared" si="0"/>
        <v>105.35499999999999</v>
      </c>
    </row>
    <row r="39" spans="1:9" ht="21" customHeight="1">
      <c r="A39" s="27"/>
      <c r="B39" s="26" t="s">
        <v>77</v>
      </c>
      <c r="C39" s="93"/>
      <c r="D39" s="61">
        <v>999395699855</v>
      </c>
      <c r="E39" s="30" t="s">
        <v>78</v>
      </c>
      <c r="F39" s="8">
        <f>391.79/2</f>
        <v>195.895</v>
      </c>
      <c r="G39" s="8">
        <f>11.42/2</f>
        <v>5.71</v>
      </c>
      <c r="H39" s="8">
        <f>0.79/2</f>
        <v>0.395</v>
      </c>
      <c r="I39" s="9">
        <f t="shared" si="0"/>
        <v>202.00000000000003</v>
      </c>
    </row>
    <row r="40" spans="1:9" ht="21" customHeight="1">
      <c r="A40" s="27"/>
      <c r="B40" s="26" t="s">
        <v>79</v>
      </c>
      <c r="C40" s="26" t="s">
        <v>299</v>
      </c>
      <c r="D40" s="61">
        <v>999395699914</v>
      </c>
      <c r="E40" s="30" t="s">
        <v>80</v>
      </c>
      <c r="F40" s="8">
        <f>636.73/2</f>
        <v>318.365</v>
      </c>
      <c r="G40" s="8">
        <f>18.78/2</f>
        <v>9.39</v>
      </c>
      <c r="H40" s="8">
        <f>0.76/2</f>
        <v>0.38</v>
      </c>
      <c r="I40" s="9">
        <f t="shared" si="0"/>
        <v>328.135</v>
      </c>
    </row>
    <row r="41" spans="1:9" ht="21" customHeight="1">
      <c r="A41" s="27"/>
      <c r="B41" s="26" t="s">
        <v>81</v>
      </c>
      <c r="C41" s="26" t="s">
        <v>329</v>
      </c>
      <c r="D41" s="61">
        <v>999395720675</v>
      </c>
      <c r="E41" s="30" t="s">
        <v>82</v>
      </c>
      <c r="F41" s="8">
        <f>1043.77/2</f>
        <v>521.885</v>
      </c>
      <c r="G41" s="8">
        <f>30.99/2</f>
        <v>15.495</v>
      </c>
      <c r="H41" s="8">
        <f>0.76/2</f>
        <v>0.38</v>
      </c>
      <c r="I41" s="9">
        <f t="shared" si="0"/>
        <v>537.76</v>
      </c>
    </row>
    <row r="42" spans="1:9" ht="21" customHeight="1">
      <c r="A42" s="27"/>
      <c r="B42" s="26" t="s">
        <v>83</v>
      </c>
      <c r="C42" s="26" t="s">
        <v>300</v>
      </c>
      <c r="D42" s="61">
        <v>999395721493</v>
      </c>
      <c r="E42" s="30" t="s">
        <v>84</v>
      </c>
      <c r="F42" s="8">
        <f>1004.56/2</f>
        <v>502.28</v>
      </c>
      <c r="G42" s="8">
        <f>29.78/2</f>
        <v>14.89</v>
      </c>
      <c r="H42" s="8">
        <f>0.84/2</f>
        <v>0.42</v>
      </c>
      <c r="I42" s="9">
        <f t="shared" si="0"/>
        <v>517.5899999999999</v>
      </c>
    </row>
    <row r="43" spans="1:9" ht="21" customHeight="1">
      <c r="A43" s="27"/>
      <c r="B43" s="26" t="s">
        <v>85</v>
      </c>
      <c r="C43" s="26"/>
      <c r="D43" s="61">
        <v>999395728957</v>
      </c>
      <c r="E43" s="30" t="s">
        <v>86</v>
      </c>
      <c r="F43" s="8">
        <f>145.6/2</f>
        <v>72.8</v>
      </c>
      <c r="G43" s="8">
        <f>4.05/2</f>
        <v>2.025</v>
      </c>
      <c r="H43" s="8">
        <f>0.75/2</f>
        <v>0.375</v>
      </c>
      <c r="I43" s="9">
        <f t="shared" si="0"/>
        <v>75.2</v>
      </c>
    </row>
    <row r="44" spans="1:9" ht="21" customHeight="1">
      <c r="A44" s="27"/>
      <c r="B44" s="26" t="s">
        <v>87</v>
      </c>
      <c r="C44" s="26" t="s">
        <v>330</v>
      </c>
      <c r="D44" s="61">
        <v>999395729357</v>
      </c>
      <c r="E44" s="30" t="s">
        <v>88</v>
      </c>
      <c r="F44" s="8">
        <f>235.44/2</f>
        <v>117.72</v>
      </c>
      <c r="G44" s="8">
        <f>6.72/2</f>
        <v>3.36</v>
      </c>
      <c r="H44" s="8">
        <f>0.81/2</f>
        <v>0.405</v>
      </c>
      <c r="I44" s="9">
        <f t="shared" si="0"/>
        <v>121.485</v>
      </c>
    </row>
    <row r="45" spans="1:9" ht="21" customHeight="1">
      <c r="A45" s="27"/>
      <c r="B45" s="26" t="s">
        <v>89</v>
      </c>
      <c r="C45" s="93"/>
      <c r="D45" s="61">
        <v>999395729815</v>
      </c>
      <c r="E45" s="30" t="s">
        <v>90</v>
      </c>
      <c r="F45" s="8">
        <f>236.42/2</f>
        <v>118.21</v>
      </c>
      <c r="G45" s="8">
        <f>6.76/2</f>
        <v>3.38</v>
      </c>
      <c r="H45" s="8">
        <f>0.79/2</f>
        <v>0.395</v>
      </c>
      <c r="I45" s="9">
        <f t="shared" si="0"/>
        <v>121.98499999999999</v>
      </c>
    </row>
    <row r="46" spans="1:9" ht="21" customHeight="1">
      <c r="A46" s="27"/>
      <c r="B46" s="26" t="s">
        <v>94</v>
      </c>
      <c r="C46" s="26" t="s">
        <v>331</v>
      </c>
      <c r="D46" s="61">
        <v>999395730546</v>
      </c>
      <c r="E46" s="30" t="s">
        <v>91</v>
      </c>
      <c r="F46" s="8">
        <f>98.89/2</f>
        <v>49.445</v>
      </c>
      <c r="G46" s="8">
        <f>2.63/2</f>
        <v>1.315</v>
      </c>
      <c r="H46" s="8">
        <f>0.79/2</f>
        <v>0.395</v>
      </c>
      <c r="I46" s="9">
        <f t="shared" si="0"/>
        <v>51.155</v>
      </c>
    </row>
    <row r="47" spans="1:9" ht="21" customHeight="1">
      <c r="A47" s="27"/>
      <c r="B47" s="26" t="s">
        <v>92</v>
      </c>
      <c r="C47" s="26" t="s">
        <v>319</v>
      </c>
      <c r="D47" s="61">
        <v>999395731005</v>
      </c>
      <c r="E47" s="32" t="s">
        <v>93</v>
      </c>
      <c r="F47" s="8">
        <f>343.29/2</f>
        <v>171.645</v>
      </c>
      <c r="G47" s="8">
        <f>9.98/2</f>
        <v>4.99</v>
      </c>
      <c r="H47" s="8">
        <f>0.75/2</f>
        <v>0.375</v>
      </c>
      <c r="I47" s="9">
        <f t="shared" si="0"/>
        <v>177.01000000000002</v>
      </c>
    </row>
    <row r="48" spans="1:9" ht="21" customHeight="1">
      <c r="A48" s="27"/>
      <c r="B48" s="26" t="s">
        <v>95</v>
      </c>
      <c r="C48" s="93"/>
      <c r="D48" s="61">
        <v>999395731797</v>
      </c>
      <c r="E48" s="30" t="s">
        <v>96</v>
      </c>
      <c r="F48" s="8">
        <f>368.55/2</f>
        <v>184.275</v>
      </c>
      <c r="G48" s="8">
        <f>10.73/2</f>
        <v>5.365</v>
      </c>
      <c r="H48" s="8">
        <f>0.76/2</f>
        <v>0.38</v>
      </c>
      <c r="I48" s="9">
        <f t="shared" si="0"/>
        <v>190.02</v>
      </c>
    </row>
    <row r="49" spans="1:9" ht="21" customHeight="1">
      <c r="A49" s="27"/>
      <c r="B49" s="26" t="s">
        <v>97</v>
      </c>
      <c r="C49" s="26"/>
      <c r="D49" s="61">
        <v>999395850272</v>
      </c>
      <c r="E49" s="30" t="s">
        <v>98</v>
      </c>
      <c r="F49" s="8">
        <v>629.75</v>
      </c>
      <c r="G49" s="8">
        <v>18.33</v>
      </c>
      <c r="H49" s="8">
        <v>1.32</v>
      </c>
      <c r="I49" s="9">
        <f t="shared" si="0"/>
        <v>649.4000000000001</v>
      </c>
    </row>
    <row r="50" spans="1:9" ht="21" customHeight="1">
      <c r="A50" s="27"/>
      <c r="B50" s="26" t="s">
        <v>99</v>
      </c>
      <c r="C50" s="93"/>
      <c r="D50" s="61">
        <v>999395869847</v>
      </c>
      <c r="E50" s="30" t="s">
        <v>100</v>
      </c>
      <c r="F50" s="8">
        <v>366.12</v>
      </c>
      <c r="G50" s="8">
        <v>10.74</v>
      </c>
      <c r="H50" s="8">
        <v>0.56</v>
      </c>
      <c r="I50" s="9">
        <f t="shared" si="0"/>
        <v>377.42</v>
      </c>
    </row>
    <row r="51" spans="1:9" ht="21" customHeight="1">
      <c r="A51" s="27"/>
      <c r="B51" s="26" t="s">
        <v>101</v>
      </c>
      <c r="C51" s="26" t="s">
        <v>371</v>
      </c>
      <c r="D51" s="12">
        <v>83007836944</v>
      </c>
      <c r="E51" s="30" t="s">
        <v>102</v>
      </c>
      <c r="F51" s="8">
        <f>221.02/2</f>
        <v>110.51</v>
      </c>
      <c r="G51" s="8">
        <f>6.31/2</f>
        <v>3.155</v>
      </c>
      <c r="H51" s="8">
        <f>0.75/2</f>
        <v>0.375</v>
      </c>
      <c r="I51" s="9">
        <f t="shared" si="0"/>
        <v>114.04</v>
      </c>
    </row>
    <row r="52" spans="1:9" ht="21" customHeight="1">
      <c r="A52" s="27"/>
      <c r="B52" s="26" t="s">
        <v>103</v>
      </c>
      <c r="C52" s="26" t="s">
        <v>286</v>
      </c>
      <c r="D52" s="61">
        <v>999418107083</v>
      </c>
      <c r="E52" s="30" t="s">
        <v>104</v>
      </c>
      <c r="F52" s="8">
        <f>3188.77/2</f>
        <v>1594.385</v>
      </c>
      <c r="G52" s="8">
        <f>95.33/2</f>
        <v>47.665</v>
      </c>
      <c r="H52" s="8">
        <f>0.79/2</f>
        <v>0.395</v>
      </c>
      <c r="I52" s="9">
        <f t="shared" si="0"/>
        <v>1642.445</v>
      </c>
    </row>
    <row r="53" spans="1:9" ht="21" customHeight="1">
      <c r="A53" s="27"/>
      <c r="B53" s="26" t="s">
        <v>105</v>
      </c>
      <c r="C53" s="26" t="s">
        <v>332</v>
      </c>
      <c r="D53" s="61">
        <v>999418108530</v>
      </c>
      <c r="E53" s="30" t="s">
        <v>106</v>
      </c>
      <c r="F53" s="8">
        <v>297.8</v>
      </c>
      <c r="G53" s="8">
        <v>8.37</v>
      </c>
      <c r="H53" s="8">
        <v>1.32</v>
      </c>
      <c r="I53" s="9">
        <f t="shared" si="0"/>
        <v>307.49</v>
      </c>
    </row>
    <row r="54" spans="1:9" ht="21" customHeight="1">
      <c r="A54" s="27"/>
      <c r="B54" s="26" t="s">
        <v>107</v>
      </c>
      <c r="C54" s="26" t="s">
        <v>302</v>
      </c>
      <c r="D54" s="61">
        <v>999444028261</v>
      </c>
      <c r="E54" s="30" t="s">
        <v>108</v>
      </c>
      <c r="F54" s="8">
        <v>116.92</v>
      </c>
      <c r="G54" s="8">
        <v>2.94</v>
      </c>
      <c r="H54" s="8">
        <v>1.32</v>
      </c>
      <c r="I54" s="9">
        <f t="shared" si="0"/>
        <v>121.17999999999999</v>
      </c>
    </row>
    <row r="55" spans="1:9" ht="21" customHeight="1">
      <c r="A55" s="27"/>
      <c r="B55" s="26" t="s">
        <v>109</v>
      </c>
      <c r="C55" s="26" t="s">
        <v>313</v>
      </c>
      <c r="D55" s="12">
        <v>83000769293</v>
      </c>
      <c r="E55" s="30" t="s">
        <v>110</v>
      </c>
      <c r="F55" s="8">
        <v>306.6</v>
      </c>
      <c r="G55" s="8">
        <v>8.6</v>
      </c>
      <c r="H55" s="8">
        <v>1.4</v>
      </c>
      <c r="I55" s="9">
        <f t="shared" si="0"/>
        <v>316.6</v>
      </c>
    </row>
    <row r="56" spans="1:9" s="19" customFormat="1" ht="21" customHeight="1">
      <c r="A56" s="27"/>
      <c r="B56" s="35" t="s">
        <v>125</v>
      </c>
      <c r="C56" s="94"/>
      <c r="D56" s="36">
        <v>60006203645</v>
      </c>
      <c r="E56" s="37" t="s">
        <v>126</v>
      </c>
      <c r="F56" s="8">
        <v>26.48</v>
      </c>
      <c r="G56" s="8">
        <v>0.77</v>
      </c>
      <c r="H56" s="8">
        <v>0.06</v>
      </c>
      <c r="I56" s="9">
        <f t="shared" si="0"/>
        <v>27.31</v>
      </c>
    </row>
    <row r="57" spans="1:9" s="29" customFormat="1" ht="21" customHeight="1">
      <c r="A57" s="27"/>
      <c r="B57" s="26" t="s">
        <v>127</v>
      </c>
      <c r="C57" s="93"/>
      <c r="D57" s="12">
        <v>60007966411</v>
      </c>
      <c r="E57" s="30" t="s">
        <v>128</v>
      </c>
      <c r="F57" s="8">
        <v>60.29</v>
      </c>
      <c r="G57" s="8">
        <v>1.78</v>
      </c>
      <c r="H57" s="8">
        <v>0.06</v>
      </c>
      <c r="I57" s="9">
        <f t="shared" si="0"/>
        <v>62.13</v>
      </c>
    </row>
    <row r="58" spans="1:9" ht="21" customHeight="1">
      <c r="A58" s="27"/>
      <c r="B58" s="26" t="s">
        <v>129</v>
      </c>
      <c r="C58" s="26" t="s">
        <v>289</v>
      </c>
      <c r="D58" s="12">
        <v>60006643135</v>
      </c>
      <c r="E58" s="30" t="s">
        <v>130</v>
      </c>
      <c r="F58" s="8">
        <f>91.28/2</f>
        <v>45.64</v>
      </c>
      <c r="G58" s="8">
        <f>2.7/2</f>
        <v>1.35</v>
      </c>
      <c r="H58" s="8">
        <f>0.08/2</f>
        <v>0.04</v>
      </c>
      <c r="I58" s="9">
        <f t="shared" si="0"/>
        <v>47.03</v>
      </c>
    </row>
    <row r="59" spans="1:9" ht="21" customHeight="1">
      <c r="A59" s="27"/>
      <c r="B59" s="26" t="s">
        <v>131</v>
      </c>
      <c r="C59" s="93"/>
      <c r="D59" s="12">
        <v>60007843244</v>
      </c>
      <c r="E59" s="30" t="s">
        <v>132</v>
      </c>
      <c r="F59" s="8">
        <f>110.53/2</f>
        <v>55.265</v>
      </c>
      <c r="G59" s="8">
        <f>3.28/2</f>
        <v>1.64</v>
      </c>
      <c r="H59" s="8">
        <f>0.08/2</f>
        <v>0.04</v>
      </c>
      <c r="I59" s="9">
        <f aca="true" t="shared" si="1" ref="I59:I119">SUM(F59:H59)</f>
        <v>56.945</v>
      </c>
    </row>
    <row r="60" spans="1:9" ht="21" customHeight="1">
      <c r="A60" s="27"/>
      <c r="B60" s="26" t="s">
        <v>133</v>
      </c>
      <c r="C60" s="26" t="s">
        <v>322</v>
      </c>
      <c r="D60" s="12">
        <v>60007843069</v>
      </c>
      <c r="E60" s="30" t="s">
        <v>134</v>
      </c>
      <c r="F60" s="8">
        <f>118.49/2</f>
        <v>59.245</v>
      </c>
      <c r="G60" s="8">
        <f>3.46/2</f>
        <v>1.73</v>
      </c>
      <c r="H60" s="8">
        <f>0.21/2</f>
        <v>0.105</v>
      </c>
      <c r="I60" s="9">
        <f t="shared" si="1"/>
        <v>61.07999999999999</v>
      </c>
    </row>
    <row r="61" spans="1:9" ht="21" customHeight="1">
      <c r="A61" s="27"/>
      <c r="B61" s="26" t="s">
        <v>135</v>
      </c>
      <c r="C61" s="26" t="s">
        <v>353</v>
      </c>
      <c r="D61" s="12">
        <v>60007843073</v>
      </c>
      <c r="E61" s="30" t="s">
        <v>136</v>
      </c>
      <c r="F61" s="8">
        <f>125.38/2</f>
        <v>62.69</v>
      </c>
      <c r="G61" s="8">
        <f>3.73/2</f>
        <v>1.865</v>
      </c>
      <c r="H61" s="8">
        <f>0.07/2</f>
        <v>0.035</v>
      </c>
      <c r="I61" s="9">
        <f t="shared" si="1"/>
        <v>64.58999999999999</v>
      </c>
    </row>
    <row r="62" spans="1:9" ht="21" customHeight="1">
      <c r="A62" s="27"/>
      <c r="B62" s="26" t="s">
        <v>137</v>
      </c>
      <c r="C62" s="93"/>
      <c r="D62" s="12">
        <v>60007843356</v>
      </c>
      <c r="E62" s="30" t="s">
        <v>138</v>
      </c>
      <c r="F62" s="8">
        <f>33.1/2</f>
        <v>16.55</v>
      </c>
      <c r="G62" s="8">
        <f>0.96/2</f>
        <v>0.48</v>
      </c>
      <c r="H62" s="8">
        <f>0.07/2</f>
        <v>0.035</v>
      </c>
      <c r="I62" s="9">
        <f t="shared" si="1"/>
        <v>17.065</v>
      </c>
    </row>
    <row r="63" spans="1:9" ht="21" customHeight="1">
      <c r="A63" s="27"/>
      <c r="B63" s="26" t="s">
        <v>139</v>
      </c>
      <c r="C63" s="93"/>
      <c r="D63" s="12">
        <v>60007847274</v>
      </c>
      <c r="E63" s="30" t="s">
        <v>140</v>
      </c>
      <c r="F63" s="8">
        <f>55.66/2</f>
        <v>27.83</v>
      </c>
      <c r="G63" s="8">
        <f>1.58/2</f>
        <v>0.79</v>
      </c>
      <c r="H63" s="8">
        <f>0.21/2</f>
        <v>0.105</v>
      </c>
      <c r="I63" s="9">
        <f t="shared" si="1"/>
        <v>28.724999999999998</v>
      </c>
    </row>
    <row r="64" spans="1:9" ht="21" customHeight="1">
      <c r="A64" s="27"/>
      <c r="B64" s="26" t="s">
        <v>141</v>
      </c>
      <c r="C64" s="93"/>
      <c r="D64" s="12">
        <v>60007847482</v>
      </c>
      <c r="E64" s="30" t="s">
        <v>142</v>
      </c>
      <c r="F64" s="8">
        <v>54.48</v>
      </c>
      <c r="G64" s="8">
        <v>1.61</v>
      </c>
      <c r="H64" s="8">
        <v>0.06</v>
      </c>
      <c r="I64" s="9">
        <f t="shared" si="1"/>
        <v>56.15</v>
      </c>
    </row>
    <row r="65" spans="1:9" ht="21" customHeight="1">
      <c r="A65" s="27"/>
      <c r="B65" s="26" t="s">
        <v>143</v>
      </c>
      <c r="C65" s="26" t="s">
        <v>323</v>
      </c>
      <c r="D65" s="12">
        <v>60007858040</v>
      </c>
      <c r="E65" s="78" t="s">
        <v>144</v>
      </c>
      <c r="F65" s="8">
        <v>19.7</v>
      </c>
      <c r="G65" s="8">
        <v>0.55</v>
      </c>
      <c r="H65" s="8">
        <v>0.1</v>
      </c>
      <c r="I65" s="9">
        <f t="shared" si="1"/>
        <v>20.35</v>
      </c>
    </row>
    <row r="66" spans="1:9" ht="21" customHeight="1">
      <c r="A66" s="27"/>
      <c r="B66" s="43" t="s">
        <v>145</v>
      </c>
      <c r="C66" s="43" t="s">
        <v>358</v>
      </c>
      <c r="D66" s="44">
        <v>60007889355</v>
      </c>
      <c r="E66" s="37" t="s">
        <v>146</v>
      </c>
      <c r="F66" s="18">
        <f>53.11/2</f>
        <v>26.555</v>
      </c>
      <c r="G66" s="18">
        <f>1.56/2</f>
        <v>0.78</v>
      </c>
      <c r="H66" s="18">
        <f>0.08/2</f>
        <v>0.04</v>
      </c>
      <c r="I66" s="9">
        <f t="shared" si="1"/>
        <v>27.375</v>
      </c>
    </row>
    <row r="67" spans="1:9" ht="21" customHeight="1">
      <c r="A67" s="39"/>
      <c r="B67" s="41" t="s">
        <v>147</v>
      </c>
      <c r="C67" s="41" t="s">
        <v>311</v>
      </c>
      <c r="D67" s="40">
        <v>60007899611</v>
      </c>
      <c r="E67" s="42" t="s">
        <v>148</v>
      </c>
      <c r="F67" s="18">
        <v>87.27</v>
      </c>
      <c r="G67" s="18">
        <v>2.58</v>
      </c>
      <c r="H67" s="18">
        <v>0.09</v>
      </c>
      <c r="I67" s="9">
        <f t="shared" si="1"/>
        <v>89.94</v>
      </c>
    </row>
    <row r="68" spans="1:9" ht="21" customHeight="1">
      <c r="A68" s="27"/>
      <c r="B68" s="26" t="s">
        <v>149</v>
      </c>
      <c r="C68" s="93"/>
      <c r="D68" s="12">
        <v>60008073286</v>
      </c>
      <c r="E68" s="30" t="s">
        <v>150</v>
      </c>
      <c r="F68" s="8">
        <f>32.08/2</f>
        <v>16.04</v>
      </c>
      <c r="G68" s="8">
        <f>0.87/2</f>
        <v>0.435</v>
      </c>
      <c r="H68" s="8">
        <f>0.22/2</f>
        <v>0.11</v>
      </c>
      <c r="I68" s="9">
        <f t="shared" si="1"/>
        <v>16.584999999999997</v>
      </c>
    </row>
    <row r="69" spans="1:9" s="29" customFormat="1" ht="21" customHeight="1">
      <c r="A69" s="27"/>
      <c r="B69" s="26" t="s">
        <v>151</v>
      </c>
      <c r="C69" s="26"/>
      <c r="D69" s="12">
        <v>60008101006</v>
      </c>
      <c r="E69" s="30" t="s">
        <v>152</v>
      </c>
      <c r="F69" s="8">
        <v>30.42</v>
      </c>
      <c r="G69" s="8">
        <v>0.87</v>
      </c>
      <c r="H69" s="8">
        <v>0.09</v>
      </c>
      <c r="I69" s="9">
        <f t="shared" si="1"/>
        <v>31.380000000000003</v>
      </c>
    </row>
    <row r="70" spans="1:9" s="29" customFormat="1" ht="21" customHeight="1">
      <c r="A70" s="27"/>
      <c r="B70" s="26" t="s">
        <v>153</v>
      </c>
      <c r="C70" s="26" t="s">
        <v>359</v>
      </c>
      <c r="D70" s="12">
        <v>60008115357</v>
      </c>
      <c r="E70" s="30" t="s">
        <v>154</v>
      </c>
      <c r="F70" s="8">
        <v>42.16</v>
      </c>
      <c r="G70" s="8">
        <v>1.24</v>
      </c>
      <c r="H70" s="8">
        <v>0.06</v>
      </c>
      <c r="I70" s="9">
        <f t="shared" si="1"/>
        <v>43.46</v>
      </c>
    </row>
    <row r="71" spans="1:9" s="20" customFormat="1" ht="21" customHeight="1">
      <c r="A71" s="27"/>
      <c r="B71" s="26" t="s">
        <v>155</v>
      </c>
      <c r="C71" s="26" t="s">
        <v>312</v>
      </c>
      <c r="D71" s="12">
        <v>60008450632</v>
      </c>
      <c r="E71" s="30" t="s">
        <v>156</v>
      </c>
      <c r="F71" s="8">
        <v>21.74</v>
      </c>
      <c r="G71" s="8">
        <v>0.63</v>
      </c>
      <c r="H71" s="8">
        <v>0.06</v>
      </c>
      <c r="I71" s="9">
        <f t="shared" si="1"/>
        <v>22.429999999999996</v>
      </c>
    </row>
    <row r="72" spans="1:9" ht="21" customHeight="1">
      <c r="A72" s="27"/>
      <c r="B72" s="26" t="s">
        <v>157</v>
      </c>
      <c r="C72" s="26" t="s">
        <v>360</v>
      </c>
      <c r="D72" s="12">
        <v>60008427213</v>
      </c>
      <c r="E72" s="30" t="s">
        <v>158</v>
      </c>
      <c r="F72" s="8">
        <f>46.9/2</f>
        <v>23.45</v>
      </c>
      <c r="G72" s="8">
        <f>1.38/2</f>
        <v>0.69</v>
      </c>
      <c r="H72" s="8">
        <f>0.07/2</f>
        <v>0.035</v>
      </c>
      <c r="I72" s="9">
        <f t="shared" si="1"/>
        <v>24.175</v>
      </c>
    </row>
    <row r="73" spans="1:9" ht="21" customHeight="1">
      <c r="A73" s="27"/>
      <c r="B73" s="26" t="s">
        <v>159</v>
      </c>
      <c r="C73" s="26" t="s">
        <v>361</v>
      </c>
      <c r="D73" s="12">
        <v>60008475541</v>
      </c>
      <c r="E73" s="30" t="s">
        <v>160</v>
      </c>
      <c r="F73" s="8">
        <f>52.65/2</f>
        <v>26.325</v>
      </c>
      <c r="G73" s="8">
        <f>1.55/2</f>
        <v>0.775</v>
      </c>
      <c r="H73" s="8">
        <f>0.08/2</f>
        <v>0.04</v>
      </c>
      <c r="I73" s="9">
        <f t="shared" si="1"/>
        <v>27.139999999999997</v>
      </c>
    </row>
    <row r="74" spans="1:9" ht="21" customHeight="1">
      <c r="A74" s="27"/>
      <c r="B74" s="26" t="s">
        <v>161</v>
      </c>
      <c r="C74" s="93"/>
      <c r="D74" s="12">
        <v>60008368817</v>
      </c>
      <c r="E74" s="30" t="s">
        <v>162</v>
      </c>
      <c r="F74" s="8">
        <v>28.98</v>
      </c>
      <c r="G74" s="8">
        <v>0.85</v>
      </c>
      <c r="H74" s="8">
        <v>0.06</v>
      </c>
      <c r="I74" s="9">
        <f t="shared" si="1"/>
        <v>29.89</v>
      </c>
    </row>
    <row r="75" spans="1:9" ht="21" customHeight="1">
      <c r="A75" s="27"/>
      <c r="B75" s="26" t="s">
        <v>163</v>
      </c>
      <c r="C75" s="26" t="s">
        <v>372</v>
      </c>
      <c r="D75" s="12">
        <v>60091069643</v>
      </c>
      <c r="E75" s="30" t="s">
        <v>164</v>
      </c>
      <c r="F75" s="82">
        <v>22.68</v>
      </c>
      <c r="G75" s="82">
        <v>0.65</v>
      </c>
      <c r="H75" s="82">
        <v>0.06</v>
      </c>
      <c r="I75" s="83">
        <f t="shared" si="1"/>
        <v>23.389999999999997</v>
      </c>
    </row>
    <row r="76" spans="1:9" ht="21" customHeight="1">
      <c r="A76" s="27"/>
      <c r="B76" s="26" t="s">
        <v>165</v>
      </c>
      <c r="C76" s="26" t="s">
        <v>363</v>
      </c>
      <c r="D76" s="12">
        <v>60089709450</v>
      </c>
      <c r="E76" s="30" t="s">
        <v>166</v>
      </c>
      <c r="F76" s="8">
        <v>29.47</v>
      </c>
      <c r="G76" s="8">
        <v>0.86</v>
      </c>
      <c r="H76" s="8">
        <v>0.06</v>
      </c>
      <c r="I76" s="9">
        <f t="shared" si="1"/>
        <v>30.389999999999997</v>
      </c>
    </row>
    <row r="77" spans="1:9" ht="21" customHeight="1">
      <c r="A77" s="27"/>
      <c r="B77" s="26" t="s">
        <v>167</v>
      </c>
      <c r="C77" s="26" t="s">
        <v>362</v>
      </c>
      <c r="D77" s="12">
        <v>60089553056</v>
      </c>
      <c r="E77" s="30" t="s">
        <v>168</v>
      </c>
      <c r="F77" s="8">
        <f>145.24+(217.51/2)</f>
        <v>253.995</v>
      </c>
      <c r="G77" s="8">
        <f>4.33+(6.49/2)</f>
        <v>7.575</v>
      </c>
      <c r="H77" s="8">
        <f>0.06+(0.09/2)</f>
        <v>0.105</v>
      </c>
      <c r="I77" s="9">
        <f t="shared" si="1"/>
        <v>261.675</v>
      </c>
    </row>
    <row r="78" spans="1:9" ht="21" customHeight="1">
      <c r="A78" s="27"/>
      <c r="B78" s="26" t="s">
        <v>169</v>
      </c>
      <c r="C78" s="26" t="s">
        <v>364</v>
      </c>
      <c r="D78" s="17">
        <v>60090692774</v>
      </c>
      <c r="E78" s="31" t="s">
        <v>170</v>
      </c>
      <c r="F78" s="18">
        <v>22.27</v>
      </c>
      <c r="G78" s="18">
        <v>0.64</v>
      </c>
      <c r="H78" s="18">
        <v>0.06</v>
      </c>
      <c r="I78" s="9">
        <f t="shared" si="1"/>
        <v>22.97</v>
      </c>
    </row>
    <row r="79" spans="1:9" ht="21" customHeight="1">
      <c r="A79" s="27"/>
      <c r="B79" s="26" t="s">
        <v>171</v>
      </c>
      <c r="C79" s="93"/>
      <c r="D79" s="12">
        <v>60006579681</v>
      </c>
      <c r="E79" s="30" t="s">
        <v>172</v>
      </c>
      <c r="F79" s="8">
        <v>24.02</v>
      </c>
      <c r="G79" s="8">
        <v>0.7</v>
      </c>
      <c r="H79" s="8">
        <v>0.06</v>
      </c>
      <c r="I79" s="9">
        <f t="shared" si="1"/>
        <v>24.779999999999998</v>
      </c>
    </row>
    <row r="80" spans="1:9" ht="21" customHeight="1">
      <c r="A80" s="27"/>
      <c r="B80" s="26" t="s">
        <v>173</v>
      </c>
      <c r="C80" s="26" t="s">
        <v>333</v>
      </c>
      <c r="D80" s="12">
        <v>60006586696</v>
      </c>
      <c r="E80" s="30" t="s">
        <v>174</v>
      </c>
      <c r="F80" s="8">
        <f>259.73/2</f>
        <v>129.865</v>
      </c>
      <c r="G80" s="8">
        <f>7.7/2</f>
        <v>3.85</v>
      </c>
      <c r="H80" s="8">
        <f>0.22/2</f>
        <v>0.11</v>
      </c>
      <c r="I80" s="9">
        <f t="shared" si="1"/>
        <v>133.82500000000002</v>
      </c>
    </row>
    <row r="81" spans="1:9" s="29" customFormat="1" ht="21" customHeight="1">
      <c r="A81" s="27"/>
      <c r="B81" s="26" t="s">
        <v>175</v>
      </c>
      <c r="C81" s="93"/>
      <c r="D81" s="17">
        <v>60006586704</v>
      </c>
      <c r="E81" s="31" t="s">
        <v>176</v>
      </c>
      <c r="F81" s="18">
        <f>23.75/2</f>
        <v>11.875</v>
      </c>
      <c r="G81" s="18">
        <f>0.68/2</f>
        <v>0.34</v>
      </c>
      <c r="H81" s="18">
        <f>0.08/2</f>
        <v>0.04</v>
      </c>
      <c r="I81" s="9">
        <f t="shared" si="1"/>
        <v>12.254999999999999</v>
      </c>
    </row>
    <row r="82" spans="1:9" ht="21" customHeight="1">
      <c r="A82" s="27"/>
      <c r="B82" s="26" t="s">
        <v>177</v>
      </c>
      <c r="C82" s="26" t="s">
        <v>370</v>
      </c>
      <c r="D82" s="12">
        <v>60006587652</v>
      </c>
      <c r="E82" s="33" t="s">
        <v>178</v>
      </c>
      <c r="F82" s="15">
        <f>63.2/2</f>
        <v>31.6</v>
      </c>
      <c r="G82" s="15">
        <f>1.8/2</f>
        <v>0.9</v>
      </c>
      <c r="H82" s="15">
        <f>0.23/2</f>
        <v>0.115</v>
      </c>
      <c r="I82" s="9">
        <f t="shared" si="1"/>
        <v>32.615</v>
      </c>
    </row>
    <row r="83" spans="1:9" s="20" customFormat="1" ht="21" customHeight="1">
      <c r="A83" s="27"/>
      <c r="B83" s="26" t="s">
        <v>179</v>
      </c>
      <c r="C83" s="26" t="s">
        <v>334</v>
      </c>
      <c r="D83" s="12">
        <v>60006587671</v>
      </c>
      <c r="E83" s="30" t="s">
        <v>180</v>
      </c>
      <c r="F83" s="8">
        <f>76.91/2</f>
        <v>38.455</v>
      </c>
      <c r="G83" s="8">
        <f>2.25/2</f>
        <v>1.125</v>
      </c>
      <c r="H83" s="8">
        <f>0.13/2</f>
        <v>0.065</v>
      </c>
      <c r="I83" s="9">
        <f t="shared" si="1"/>
        <v>39.644999999999996</v>
      </c>
    </row>
    <row r="84" spans="1:9" ht="21" customHeight="1">
      <c r="A84" s="27"/>
      <c r="B84" s="26" t="s">
        <v>181</v>
      </c>
      <c r="C84" s="26" t="s">
        <v>335</v>
      </c>
      <c r="D84" s="12">
        <v>60006593566</v>
      </c>
      <c r="E84" s="30" t="s">
        <v>182</v>
      </c>
      <c r="F84" s="8">
        <f>105.12/2</f>
        <v>52.56</v>
      </c>
      <c r="G84" s="8">
        <f>3.12/2</f>
        <v>1.56</v>
      </c>
      <c r="H84" s="8">
        <f>0.08/2</f>
        <v>0.04</v>
      </c>
      <c r="I84" s="9">
        <f t="shared" si="1"/>
        <v>54.160000000000004</v>
      </c>
    </row>
    <row r="85" spans="1:9" ht="21" customHeight="1">
      <c r="A85" s="27"/>
      <c r="B85" s="26" t="s">
        <v>183</v>
      </c>
      <c r="C85" s="26" t="s">
        <v>336</v>
      </c>
      <c r="D85" s="12">
        <v>60006601563</v>
      </c>
      <c r="E85" s="30" t="s">
        <v>184</v>
      </c>
      <c r="F85" s="8">
        <v>58.2882666666666</v>
      </c>
      <c r="G85" s="8">
        <v>1.70706666666666</v>
      </c>
      <c r="H85" s="8">
        <v>0.0950666666666667</v>
      </c>
      <c r="I85" s="9">
        <f t="shared" si="1"/>
        <v>60.09039999999993</v>
      </c>
    </row>
    <row r="86" spans="1:9" ht="21" customHeight="1">
      <c r="A86" s="27"/>
      <c r="B86" s="26" t="s">
        <v>185</v>
      </c>
      <c r="C86" s="26" t="s">
        <v>310</v>
      </c>
      <c r="D86" s="12">
        <v>60006630551</v>
      </c>
      <c r="E86" s="30" t="s">
        <v>186</v>
      </c>
      <c r="F86" s="8">
        <f>168.73/2</f>
        <v>84.365</v>
      </c>
      <c r="G86" s="8">
        <f>4.97/2</f>
        <v>2.485</v>
      </c>
      <c r="H86" s="8">
        <f>0.21/2</f>
        <v>0.105</v>
      </c>
      <c r="I86" s="9">
        <f t="shared" si="1"/>
        <v>86.955</v>
      </c>
    </row>
    <row r="87" spans="1:9" s="20" customFormat="1" ht="21" customHeight="1">
      <c r="A87" s="27"/>
      <c r="B87" s="26" t="s">
        <v>187</v>
      </c>
      <c r="C87" s="26" t="s">
        <v>287</v>
      </c>
      <c r="D87" s="12">
        <v>60006631759</v>
      </c>
      <c r="E87" s="30" t="s">
        <v>188</v>
      </c>
      <c r="F87" s="8">
        <f>91.8/2</f>
        <v>45.9</v>
      </c>
      <c r="G87" s="8">
        <f>2.72/2</f>
        <v>1.36</v>
      </c>
      <c r="H87" s="8">
        <f>0.08/2</f>
        <v>0.04</v>
      </c>
      <c r="I87" s="9">
        <f t="shared" si="1"/>
        <v>47.3</v>
      </c>
    </row>
    <row r="88" spans="1:9" s="29" customFormat="1" ht="21" customHeight="1">
      <c r="A88" s="27"/>
      <c r="B88" s="26" t="s">
        <v>189</v>
      </c>
      <c r="C88" s="26" t="s">
        <v>339</v>
      </c>
      <c r="D88" s="12">
        <v>60006631974</v>
      </c>
      <c r="E88" s="30" t="s">
        <v>190</v>
      </c>
      <c r="F88" s="8">
        <v>128.27</v>
      </c>
      <c r="G88" s="8">
        <v>3.82</v>
      </c>
      <c r="H88" s="8">
        <v>0.06</v>
      </c>
      <c r="I88" s="9">
        <f t="shared" si="1"/>
        <v>132.15</v>
      </c>
    </row>
    <row r="89" spans="1:9" ht="21" customHeight="1">
      <c r="A89" s="27"/>
      <c r="B89" s="26" t="s">
        <v>191</v>
      </c>
      <c r="C89" s="26" t="s">
        <v>356</v>
      </c>
      <c r="D89" s="12">
        <v>60007843337</v>
      </c>
      <c r="E89" s="30" t="s">
        <v>192</v>
      </c>
      <c r="F89" s="8">
        <f>127.99/2</f>
        <v>63.995</v>
      </c>
      <c r="G89" s="8">
        <f>3.81/2</f>
        <v>1.905</v>
      </c>
      <c r="H89" s="8">
        <f>0.07/2</f>
        <v>0.035</v>
      </c>
      <c r="I89" s="9">
        <f t="shared" si="1"/>
        <v>65.93499999999999</v>
      </c>
    </row>
    <row r="90" spans="1:9" ht="21" customHeight="1">
      <c r="A90" s="27"/>
      <c r="B90" s="26" t="s">
        <v>193</v>
      </c>
      <c r="C90" s="26" t="s">
        <v>305</v>
      </c>
      <c r="D90" s="12">
        <v>60006631992</v>
      </c>
      <c r="E90" s="30" t="s">
        <v>194</v>
      </c>
      <c r="F90" s="8">
        <v>189.53</v>
      </c>
      <c r="G90" s="8">
        <v>5.64</v>
      </c>
      <c r="H90" s="8">
        <v>0.1</v>
      </c>
      <c r="I90" s="9">
        <f t="shared" si="1"/>
        <v>195.26999999999998</v>
      </c>
    </row>
    <row r="91" spans="1:9" ht="21" customHeight="1">
      <c r="A91" s="27"/>
      <c r="B91" s="26" t="s">
        <v>195</v>
      </c>
      <c r="C91" s="26" t="s">
        <v>341</v>
      </c>
      <c r="D91" s="12">
        <v>60006632013</v>
      </c>
      <c r="E91" s="30" t="s">
        <v>196</v>
      </c>
      <c r="F91" s="8">
        <v>21.81</v>
      </c>
      <c r="G91" s="8">
        <v>0.63</v>
      </c>
      <c r="H91" s="8">
        <v>0.06</v>
      </c>
      <c r="I91" s="9">
        <f t="shared" si="1"/>
        <v>22.499999999999996</v>
      </c>
    </row>
    <row r="92" spans="1:9" ht="21" customHeight="1">
      <c r="A92" s="27"/>
      <c r="B92" s="26" t="s">
        <v>197</v>
      </c>
      <c r="C92" s="26" t="s">
        <v>288</v>
      </c>
      <c r="D92" s="12">
        <v>60006632028</v>
      </c>
      <c r="E92" s="30" t="s">
        <v>198</v>
      </c>
      <c r="F92" s="8">
        <v>247.13</v>
      </c>
      <c r="G92" s="8">
        <v>7.37</v>
      </c>
      <c r="H92" s="8">
        <v>0.1</v>
      </c>
      <c r="I92" s="9">
        <f t="shared" si="1"/>
        <v>254.6</v>
      </c>
    </row>
    <row r="93" spans="1:9" ht="21" customHeight="1">
      <c r="A93" s="27"/>
      <c r="B93" s="26" t="s">
        <v>199</v>
      </c>
      <c r="C93" s="26" t="s">
        <v>342</v>
      </c>
      <c r="D93" s="12">
        <v>60006632034</v>
      </c>
      <c r="E93" s="30" t="s">
        <v>200</v>
      </c>
      <c r="F93" s="8">
        <v>25.48</v>
      </c>
      <c r="G93" s="8">
        <v>0.74</v>
      </c>
      <c r="H93" s="8">
        <v>0.06</v>
      </c>
      <c r="I93" s="9">
        <f t="shared" si="1"/>
        <v>26.279999999999998</v>
      </c>
    </row>
    <row r="94" spans="1:9" ht="21" customHeight="1">
      <c r="A94" s="27"/>
      <c r="B94" s="26" t="s">
        <v>201</v>
      </c>
      <c r="C94" s="26" t="s">
        <v>343</v>
      </c>
      <c r="D94" s="12">
        <v>60006637176</v>
      </c>
      <c r="E94" s="30" t="s">
        <v>202</v>
      </c>
      <c r="F94" s="8">
        <f>44.81/2</f>
        <v>22.405</v>
      </c>
      <c r="G94" s="8">
        <f>1.31/2</f>
        <v>0.655</v>
      </c>
      <c r="H94" s="8">
        <f>0.08/2</f>
        <v>0.04</v>
      </c>
      <c r="I94" s="9">
        <f t="shared" si="1"/>
        <v>23.1</v>
      </c>
    </row>
    <row r="95" spans="1:9" ht="21" customHeight="1">
      <c r="A95" s="27"/>
      <c r="B95" s="26" t="s">
        <v>203</v>
      </c>
      <c r="C95" s="93"/>
      <c r="D95" s="12">
        <v>60006637235</v>
      </c>
      <c r="E95" s="30" t="s">
        <v>204</v>
      </c>
      <c r="F95" s="8">
        <f>24.08/2</f>
        <v>12.04</v>
      </c>
      <c r="G95" s="8">
        <f>0.69/2</f>
        <v>0.345</v>
      </c>
      <c r="H95" s="8">
        <f>0.08/2</f>
        <v>0.04</v>
      </c>
      <c r="I95" s="9">
        <f t="shared" si="1"/>
        <v>12.424999999999999</v>
      </c>
    </row>
    <row r="96" spans="1:9" ht="21" customHeight="1">
      <c r="A96" s="27"/>
      <c r="B96" s="26" t="s">
        <v>205</v>
      </c>
      <c r="C96" s="26" t="s">
        <v>306</v>
      </c>
      <c r="D96" s="12">
        <v>60006637714</v>
      </c>
      <c r="E96" s="30" t="s">
        <v>206</v>
      </c>
      <c r="F96" s="8">
        <f>65.25/2</f>
        <v>32.625</v>
      </c>
      <c r="G96" s="8">
        <f>1.86/2</f>
        <v>0.93</v>
      </c>
      <c r="H96" s="8">
        <f>0.22/2</f>
        <v>0.11</v>
      </c>
      <c r="I96" s="9">
        <f t="shared" si="1"/>
        <v>33.665</v>
      </c>
    </row>
    <row r="97" spans="1:9" ht="21" customHeight="1">
      <c r="A97" s="27"/>
      <c r="B97" s="26" t="s">
        <v>207</v>
      </c>
      <c r="C97" s="93"/>
      <c r="D97" s="12">
        <v>60006642108</v>
      </c>
      <c r="E97" s="30" t="s">
        <v>208</v>
      </c>
      <c r="F97" s="8">
        <f>24.08/2</f>
        <v>12.04</v>
      </c>
      <c r="G97" s="8">
        <f>0.69/2</f>
        <v>0.345</v>
      </c>
      <c r="H97" s="8">
        <f>0.08/2</f>
        <v>0.04</v>
      </c>
      <c r="I97" s="9">
        <f t="shared" si="1"/>
        <v>12.424999999999999</v>
      </c>
    </row>
    <row r="98" spans="1:9" ht="21" customHeight="1">
      <c r="A98" s="27"/>
      <c r="B98" s="26" t="s">
        <v>209</v>
      </c>
      <c r="C98" s="93"/>
      <c r="D98" s="12">
        <v>60006642114</v>
      </c>
      <c r="E98" s="30" t="s">
        <v>210</v>
      </c>
      <c r="F98" s="8">
        <f>24.08/2</f>
        <v>12.04</v>
      </c>
      <c r="G98" s="8">
        <f>0.69/2</f>
        <v>0.345</v>
      </c>
      <c r="H98" s="8">
        <f>0.08/2</f>
        <v>0.04</v>
      </c>
      <c r="I98" s="9">
        <f t="shared" si="1"/>
        <v>12.424999999999999</v>
      </c>
    </row>
    <row r="99" spans="1:9" ht="21" customHeight="1">
      <c r="A99" s="27"/>
      <c r="B99" s="26" t="s">
        <v>211</v>
      </c>
      <c r="C99" s="26" t="s">
        <v>290</v>
      </c>
      <c r="D99" s="12">
        <v>60006644426</v>
      </c>
      <c r="E99" s="30" t="s">
        <v>212</v>
      </c>
      <c r="F99" s="8">
        <v>51.71</v>
      </c>
      <c r="G99" s="8">
        <v>1.53</v>
      </c>
      <c r="H99" s="8">
        <v>0.06</v>
      </c>
      <c r="I99" s="9">
        <f t="shared" si="1"/>
        <v>53.300000000000004</v>
      </c>
    </row>
    <row r="100" spans="1:9" ht="21" customHeight="1">
      <c r="A100" s="27"/>
      <c r="B100" s="26" t="s">
        <v>213</v>
      </c>
      <c r="C100" s="93"/>
      <c r="D100" s="12">
        <v>60006644431</v>
      </c>
      <c r="E100" s="30" t="s">
        <v>214</v>
      </c>
      <c r="F100" s="8">
        <v>57.93</v>
      </c>
      <c r="G100" s="8">
        <v>1.71</v>
      </c>
      <c r="H100" s="8">
        <v>0.06</v>
      </c>
      <c r="I100" s="9">
        <f t="shared" si="1"/>
        <v>59.7</v>
      </c>
    </row>
    <row r="101" spans="1:9" ht="21" customHeight="1">
      <c r="A101" s="27"/>
      <c r="B101" s="26" t="s">
        <v>215</v>
      </c>
      <c r="C101" s="26" t="s">
        <v>344</v>
      </c>
      <c r="D101" s="12">
        <v>60006644654</v>
      </c>
      <c r="E101" s="30" t="s">
        <v>216</v>
      </c>
      <c r="F101" s="18">
        <f>37.92/2</f>
        <v>18.96</v>
      </c>
      <c r="G101" s="18">
        <f>1.1/2</f>
        <v>0.55</v>
      </c>
      <c r="H101" s="18">
        <f>0.08/2</f>
        <v>0.04</v>
      </c>
      <c r="I101" s="87">
        <f t="shared" si="1"/>
        <v>19.55</v>
      </c>
    </row>
    <row r="102" spans="1:9" ht="21" customHeight="1">
      <c r="A102" s="27"/>
      <c r="B102" s="26" t="s">
        <v>217</v>
      </c>
      <c r="C102" s="93"/>
      <c r="D102" s="12">
        <v>60007182237</v>
      </c>
      <c r="E102" s="30" t="s">
        <v>218</v>
      </c>
      <c r="F102" s="8">
        <f>23.99/2+(26.59/2)</f>
        <v>25.29</v>
      </c>
      <c r="G102" s="8">
        <f>0.71/2+(0.77/2)</f>
        <v>0.74</v>
      </c>
      <c r="H102" s="8">
        <f>0.03/2+(0.05/2)</f>
        <v>0.04</v>
      </c>
      <c r="I102" s="9">
        <f t="shared" si="1"/>
        <v>26.069999999999997</v>
      </c>
    </row>
    <row r="103" spans="1:9" ht="21" customHeight="1">
      <c r="A103" s="27"/>
      <c r="B103" s="26" t="s">
        <v>219</v>
      </c>
      <c r="C103" s="26" t="s">
        <v>354</v>
      </c>
      <c r="D103" s="12">
        <v>60007843211</v>
      </c>
      <c r="E103" s="30" t="s">
        <v>220</v>
      </c>
      <c r="F103" s="8">
        <v>25.09</v>
      </c>
      <c r="G103" s="8">
        <v>0.73</v>
      </c>
      <c r="H103" s="8">
        <v>0.06</v>
      </c>
      <c r="I103" s="9">
        <f t="shared" si="1"/>
        <v>25.88</v>
      </c>
    </row>
    <row r="104" spans="1:9" ht="21" customHeight="1">
      <c r="A104" s="27"/>
      <c r="B104" s="26" t="s">
        <v>221</v>
      </c>
      <c r="C104" s="26" t="s">
        <v>355</v>
      </c>
      <c r="D104" s="12">
        <v>60007843225</v>
      </c>
      <c r="E104" s="30" t="s">
        <v>222</v>
      </c>
      <c r="F104" s="8">
        <v>9.9</v>
      </c>
      <c r="G104" s="8">
        <v>0.27</v>
      </c>
      <c r="H104" s="8">
        <v>0.06</v>
      </c>
      <c r="I104" s="9">
        <f t="shared" si="1"/>
        <v>10.23</v>
      </c>
    </row>
    <row r="105" spans="1:9" ht="21" customHeight="1">
      <c r="A105" s="27"/>
      <c r="B105" s="26" t="s">
        <v>223</v>
      </c>
      <c r="C105" s="26" t="s">
        <v>347</v>
      </c>
      <c r="D105" s="12">
        <v>60007211343</v>
      </c>
      <c r="E105" s="30" t="s">
        <v>224</v>
      </c>
      <c r="F105" s="8">
        <f>11.03/2</f>
        <v>5.515</v>
      </c>
      <c r="G105" s="8">
        <f>0.33/2</f>
        <v>0.165</v>
      </c>
      <c r="H105" s="8">
        <v>0</v>
      </c>
      <c r="I105" s="9">
        <f t="shared" si="1"/>
        <v>5.68</v>
      </c>
    </row>
    <row r="106" spans="1:9" ht="21" customHeight="1">
      <c r="A106" s="27"/>
      <c r="B106" s="26" t="s">
        <v>225</v>
      </c>
      <c r="C106" s="26" t="s">
        <v>346</v>
      </c>
      <c r="D106" s="12">
        <v>60007211339</v>
      </c>
      <c r="E106" s="30" t="s">
        <v>226</v>
      </c>
      <c r="F106" s="8">
        <f>90.59/2</f>
        <v>45.295</v>
      </c>
      <c r="G106" s="8">
        <f>2.62/2</f>
        <v>1.31</v>
      </c>
      <c r="H106" s="8">
        <f>0.22/2</f>
        <v>0.11</v>
      </c>
      <c r="I106" s="9">
        <f t="shared" si="1"/>
        <v>46.715</v>
      </c>
    </row>
    <row r="107" spans="1:9" ht="21" customHeight="1">
      <c r="A107" s="27"/>
      <c r="B107" s="26" t="s">
        <v>227</v>
      </c>
      <c r="C107" s="26" t="s">
        <v>291</v>
      </c>
      <c r="D107" s="12">
        <v>60007239731</v>
      </c>
      <c r="E107" s="30" t="s">
        <v>228</v>
      </c>
      <c r="F107" s="8">
        <f>257.61/2</f>
        <v>128.805</v>
      </c>
      <c r="G107" s="8">
        <f>7.69/2</f>
        <v>3.845</v>
      </c>
      <c r="H107" s="8">
        <f>0.08/2</f>
        <v>0.04</v>
      </c>
      <c r="I107" s="9">
        <f t="shared" si="1"/>
        <v>132.69</v>
      </c>
    </row>
    <row r="108" spans="1:9" ht="21" customHeight="1">
      <c r="A108" s="27"/>
      <c r="B108" s="26" t="s">
        <v>229</v>
      </c>
      <c r="C108" s="26" t="s">
        <v>348</v>
      </c>
      <c r="D108" s="12">
        <v>60007483419</v>
      </c>
      <c r="E108" s="30" t="s">
        <v>230</v>
      </c>
      <c r="F108" s="8">
        <f>81.25/2</f>
        <v>40.625</v>
      </c>
      <c r="G108" s="8">
        <f>2.4/2</f>
        <v>1.2</v>
      </c>
      <c r="H108" s="8">
        <f>0.08/2</f>
        <v>0.04</v>
      </c>
      <c r="I108" s="9">
        <f t="shared" si="1"/>
        <v>41.865</v>
      </c>
    </row>
    <row r="109" spans="1:9" ht="21" customHeight="1">
      <c r="A109" s="27"/>
      <c r="B109" s="26" t="s">
        <v>231</v>
      </c>
      <c r="C109" s="26" t="s">
        <v>301</v>
      </c>
      <c r="D109" s="12">
        <v>60006579638</v>
      </c>
      <c r="E109" s="30" t="s">
        <v>232</v>
      </c>
      <c r="F109" s="8">
        <v>11.88</v>
      </c>
      <c r="G109" s="8">
        <v>0.33</v>
      </c>
      <c r="H109" s="8">
        <v>0.06</v>
      </c>
      <c r="I109" s="9">
        <f t="shared" si="1"/>
        <v>12.270000000000001</v>
      </c>
    </row>
    <row r="110" spans="1:9" ht="21" customHeight="1">
      <c r="A110" s="27"/>
      <c r="B110" s="26" t="s">
        <v>233</v>
      </c>
      <c r="C110" s="26" t="s">
        <v>349</v>
      </c>
      <c r="D110" s="12">
        <v>60006579657</v>
      </c>
      <c r="E110" s="30" t="s">
        <v>234</v>
      </c>
      <c r="F110" s="8">
        <v>86.97</v>
      </c>
      <c r="G110" s="8">
        <v>2.58</v>
      </c>
      <c r="H110" s="8">
        <v>0.06</v>
      </c>
      <c r="I110" s="9">
        <f t="shared" si="1"/>
        <v>89.61</v>
      </c>
    </row>
    <row r="111" spans="1:9" ht="21" customHeight="1">
      <c r="A111" s="27"/>
      <c r="B111" s="26" t="s">
        <v>235</v>
      </c>
      <c r="C111" s="93"/>
      <c r="D111" s="12">
        <v>60006579676</v>
      </c>
      <c r="E111" s="30" t="s">
        <v>236</v>
      </c>
      <c r="F111" s="8">
        <v>13.2</v>
      </c>
      <c r="G111" s="8">
        <v>0.37</v>
      </c>
      <c r="H111" s="8">
        <v>0.06</v>
      </c>
      <c r="I111" s="9">
        <f t="shared" si="1"/>
        <v>13.629999999999999</v>
      </c>
    </row>
    <row r="112" spans="1:9" ht="21" customHeight="1">
      <c r="A112" s="27"/>
      <c r="B112" s="26" t="s">
        <v>237</v>
      </c>
      <c r="C112" s="26" t="s">
        <v>351</v>
      </c>
      <c r="D112" s="12">
        <v>60007631681</v>
      </c>
      <c r="E112" s="30" t="s">
        <v>238</v>
      </c>
      <c r="F112" s="8"/>
      <c r="G112" s="8"/>
      <c r="H112" s="8"/>
      <c r="I112" s="9">
        <f t="shared" si="1"/>
        <v>0</v>
      </c>
    </row>
    <row r="113" spans="1:9" ht="21" customHeight="1">
      <c r="A113" s="27"/>
      <c r="B113" s="26" t="s">
        <v>239</v>
      </c>
      <c r="C113" s="26" t="s">
        <v>357</v>
      </c>
      <c r="D113" s="12">
        <v>60007848373</v>
      </c>
      <c r="E113" s="30" t="s">
        <v>240</v>
      </c>
      <c r="F113" s="8">
        <f>240.6/2</f>
        <v>120.3</v>
      </c>
      <c r="G113" s="8">
        <f>7.13/2</f>
        <v>3.565</v>
      </c>
      <c r="H113" s="8">
        <f>0.21/2</f>
        <v>0.105</v>
      </c>
      <c r="I113" s="9">
        <f t="shared" si="1"/>
        <v>123.97</v>
      </c>
    </row>
    <row r="114" spans="1:9" ht="21" customHeight="1">
      <c r="A114" s="27"/>
      <c r="B114" s="26" t="s">
        <v>241</v>
      </c>
      <c r="C114" s="26" t="s">
        <v>338</v>
      </c>
      <c r="D114" s="12">
        <v>60006631880</v>
      </c>
      <c r="E114" s="30" t="s">
        <v>242</v>
      </c>
      <c r="F114" s="8">
        <f>-40.36/2</f>
        <v>-20.18</v>
      </c>
      <c r="G114" s="8">
        <f>-1.24/2</f>
        <v>-0.62</v>
      </c>
      <c r="H114" s="8">
        <f>0.08/2</f>
        <v>0.04</v>
      </c>
      <c r="I114" s="9">
        <f t="shared" si="1"/>
        <v>-20.76</v>
      </c>
    </row>
    <row r="115" spans="1:9" ht="21" customHeight="1">
      <c r="A115" s="27"/>
      <c r="B115" s="26" t="s">
        <v>243</v>
      </c>
      <c r="C115" s="26" t="s">
        <v>320</v>
      </c>
      <c r="D115" s="12">
        <v>60006631920</v>
      </c>
      <c r="E115" s="30" t="s">
        <v>244</v>
      </c>
      <c r="F115" s="8">
        <v>63.32</v>
      </c>
      <c r="G115" s="8">
        <v>1.86</v>
      </c>
      <c r="H115" s="8">
        <v>0.09</v>
      </c>
      <c r="I115" s="9">
        <f t="shared" si="1"/>
        <v>65.27000000000001</v>
      </c>
    </row>
    <row r="116" spans="1:9" ht="21" customHeight="1">
      <c r="A116" s="27"/>
      <c r="B116" s="26" t="s">
        <v>245</v>
      </c>
      <c r="C116" s="26" t="s">
        <v>340</v>
      </c>
      <c r="D116" s="12">
        <v>60006631987</v>
      </c>
      <c r="E116" s="30" t="s">
        <v>246</v>
      </c>
      <c r="F116" s="8">
        <f>359.42/2</f>
        <v>179.71</v>
      </c>
      <c r="G116" s="8">
        <f>10.69/2</f>
        <v>5.345</v>
      </c>
      <c r="H116" s="8">
        <f>0.21/2</f>
        <v>0.105</v>
      </c>
      <c r="I116" s="9">
        <f t="shared" si="1"/>
        <v>185.16</v>
      </c>
    </row>
    <row r="117" spans="1:9" ht="21" customHeight="1">
      <c r="A117" s="27"/>
      <c r="B117" s="26" t="s">
        <v>247</v>
      </c>
      <c r="C117" s="26" t="s">
        <v>373</v>
      </c>
      <c r="D117" s="12">
        <v>60006632009</v>
      </c>
      <c r="E117" s="30" t="s">
        <v>248</v>
      </c>
      <c r="F117" s="8">
        <v>242.69</v>
      </c>
      <c r="G117" s="8">
        <v>7.24</v>
      </c>
      <c r="H117" s="8">
        <v>0.1</v>
      </c>
      <c r="I117" s="9">
        <f t="shared" si="1"/>
        <v>250.03</v>
      </c>
    </row>
    <row r="118" spans="1:9" ht="21" customHeight="1">
      <c r="A118" s="27"/>
      <c r="B118" s="26" t="s">
        <v>249</v>
      </c>
      <c r="C118" s="26" t="s">
        <v>350</v>
      </c>
      <c r="D118" s="12">
        <v>60007611240</v>
      </c>
      <c r="E118" s="30" t="s">
        <v>250</v>
      </c>
      <c r="F118" s="8">
        <v>197.77</v>
      </c>
      <c r="G118" s="8">
        <v>5.91</v>
      </c>
      <c r="H118" s="8">
        <v>0.06</v>
      </c>
      <c r="I118" s="9">
        <f t="shared" si="1"/>
        <v>203.74</v>
      </c>
    </row>
    <row r="119" spans="1:9" ht="21" customHeight="1">
      <c r="A119" s="27"/>
      <c r="B119" s="26" t="s">
        <v>251</v>
      </c>
      <c r="C119" s="26" t="s">
        <v>337</v>
      </c>
      <c r="D119" s="12">
        <v>60006613294</v>
      </c>
      <c r="E119" s="30" t="s">
        <v>252</v>
      </c>
      <c r="F119" s="8">
        <f>70.32/2</f>
        <v>35.16</v>
      </c>
      <c r="G119" s="8">
        <f>2.11/2</f>
        <v>1.055</v>
      </c>
      <c r="H119" s="8">
        <v>0</v>
      </c>
      <c r="I119" s="9">
        <f t="shared" si="1"/>
        <v>36.214999999999996</v>
      </c>
    </row>
    <row r="120" spans="1:9" ht="21" customHeight="1">
      <c r="A120" s="27"/>
      <c r="B120" s="26" t="s">
        <v>253</v>
      </c>
      <c r="C120" s="26" t="s">
        <v>303</v>
      </c>
      <c r="D120" s="12">
        <v>60006631725</v>
      </c>
      <c r="E120" s="30" t="s">
        <v>254</v>
      </c>
      <c r="F120" s="8">
        <f>194.81/2</f>
        <v>97.405</v>
      </c>
      <c r="G120" s="8">
        <f>5.81/2</f>
        <v>2.905</v>
      </c>
      <c r="H120" s="8">
        <f>0.08/2</f>
        <v>0.04</v>
      </c>
      <c r="I120" s="9">
        <f aca="true" t="shared" si="2" ref="I120:I130">SUM(F120:H120)</f>
        <v>100.35000000000001</v>
      </c>
    </row>
    <row r="121" spans="1:9" ht="21" customHeight="1">
      <c r="A121" s="27"/>
      <c r="B121" s="26" t="s">
        <v>255</v>
      </c>
      <c r="C121" s="26" t="s">
        <v>304</v>
      </c>
      <c r="D121" s="12">
        <v>60006631818</v>
      </c>
      <c r="E121" s="30" t="s">
        <v>256</v>
      </c>
      <c r="F121" s="8">
        <f>12.11/2+12.74/2</f>
        <v>12.425</v>
      </c>
      <c r="G121" s="8">
        <f>0.34/2+0.36/2</f>
        <v>0.35</v>
      </c>
      <c r="H121" s="8">
        <f>0.06/2+0.06/2</f>
        <v>0.06</v>
      </c>
      <c r="I121" s="9">
        <f t="shared" si="2"/>
        <v>12.835</v>
      </c>
    </row>
    <row r="122" spans="1:9" ht="21" customHeight="1">
      <c r="A122" s="28"/>
      <c r="B122" s="25" t="s">
        <v>257</v>
      </c>
      <c r="C122" s="95"/>
      <c r="D122" s="14">
        <v>60006631824</v>
      </c>
      <c r="E122" s="45" t="s">
        <v>258</v>
      </c>
      <c r="F122" s="15">
        <f>968.72*0.25+787.57*0.25</f>
        <v>439.0725</v>
      </c>
      <c r="G122" s="15">
        <f>28.98*0.25+23.55*0.25</f>
        <v>13.1325</v>
      </c>
      <c r="H122" s="15">
        <f>0.2*0.25+0.18*0.25</f>
        <v>0.095</v>
      </c>
      <c r="I122" s="9">
        <f t="shared" si="2"/>
        <v>452.3</v>
      </c>
    </row>
    <row r="123" spans="1:9" ht="21" customHeight="1">
      <c r="A123" s="28"/>
      <c r="B123" s="25" t="s">
        <v>259</v>
      </c>
      <c r="C123" s="25" t="s">
        <v>345</v>
      </c>
      <c r="D123" s="14">
        <v>60006872372</v>
      </c>
      <c r="E123" s="45" t="s">
        <v>260</v>
      </c>
      <c r="F123" s="15">
        <v>22.17</v>
      </c>
      <c r="G123" s="15">
        <v>0.64</v>
      </c>
      <c r="H123" s="15">
        <v>0.06</v>
      </c>
      <c r="I123" s="9">
        <f t="shared" si="2"/>
        <v>22.87</v>
      </c>
    </row>
    <row r="124" spans="1:9" ht="21" customHeight="1">
      <c r="A124" s="28"/>
      <c r="B124" s="25" t="s">
        <v>261</v>
      </c>
      <c r="C124" s="25" t="s">
        <v>321</v>
      </c>
      <c r="D124" s="14">
        <v>60006974384</v>
      </c>
      <c r="E124" s="45" t="s">
        <v>262</v>
      </c>
      <c r="F124" s="15">
        <f>105.5/2</f>
        <v>52.75</v>
      </c>
      <c r="G124" s="15">
        <f>3.13/2</f>
        <v>1.565</v>
      </c>
      <c r="H124" s="15">
        <f>0.08/2</f>
        <v>0.04</v>
      </c>
      <c r="I124" s="9">
        <f t="shared" si="2"/>
        <v>54.355</v>
      </c>
    </row>
    <row r="125" spans="1:9" ht="21" customHeight="1">
      <c r="A125" s="28"/>
      <c r="B125" s="25" t="s">
        <v>263</v>
      </c>
      <c r="C125" s="25" t="s">
        <v>368</v>
      </c>
      <c r="D125" s="14">
        <v>60006581324</v>
      </c>
      <c r="E125" s="45" t="s">
        <v>264</v>
      </c>
      <c r="F125" s="15">
        <v>391.91</v>
      </c>
      <c r="G125" s="15">
        <v>11.71</v>
      </c>
      <c r="H125" s="15">
        <v>0.1</v>
      </c>
      <c r="I125" s="9">
        <f t="shared" si="2"/>
        <v>403.72</v>
      </c>
    </row>
    <row r="126" spans="1:9" ht="21" customHeight="1">
      <c r="A126" s="28"/>
      <c r="B126" s="25" t="s">
        <v>265</v>
      </c>
      <c r="C126" s="25" t="s">
        <v>352</v>
      </c>
      <c r="D126" s="14">
        <v>60007651627</v>
      </c>
      <c r="E126" s="45" t="s">
        <v>266</v>
      </c>
      <c r="F126" s="15">
        <v>14.79</v>
      </c>
      <c r="G126" s="15">
        <v>0.42</v>
      </c>
      <c r="H126" s="15">
        <v>0.06</v>
      </c>
      <c r="I126" s="9">
        <f t="shared" si="2"/>
        <v>15.27</v>
      </c>
    </row>
    <row r="127" spans="1:9" ht="21" customHeight="1">
      <c r="A127" s="28"/>
      <c r="B127" s="25" t="s">
        <v>267</v>
      </c>
      <c r="C127" s="95"/>
      <c r="D127" s="14">
        <v>83007351147</v>
      </c>
      <c r="E127" s="45" t="s">
        <v>268</v>
      </c>
      <c r="F127" s="15">
        <v>11.99</v>
      </c>
      <c r="G127" s="15">
        <v>0.34</v>
      </c>
      <c r="H127" s="15">
        <v>0.06</v>
      </c>
      <c r="I127" s="9">
        <f t="shared" si="2"/>
        <v>12.39</v>
      </c>
    </row>
    <row r="128" spans="1:9" ht="21" customHeight="1">
      <c r="A128" s="28"/>
      <c r="B128" s="25" t="s">
        <v>269</v>
      </c>
      <c r="C128" s="25"/>
      <c r="D128" s="14">
        <v>83007705623</v>
      </c>
      <c r="E128" s="45" t="s">
        <v>270</v>
      </c>
      <c r="F128" s="15">
        <v>20.92</v>
      </c>
      <c r="G128" s="15">
        <v>0.6</v>
      </c>
      <c r="H128" s="15">
        <v>0.06</v>
      </c>
      <c r="I128" s="9">
        <f t="shared" si="2"/>
        <v>21.580000000000002</v>
      </c>
    </row>
    <row r="129" spans="1:9" ht="21" customHeight="1">
      <c r="A129" s="28"/>
      <c r="B129" s="25" t="s">
        <v>271</v>
      </c>
      <c r="C129" s="25"/>
      <c r="D129" s="14">
        <v>83007812488</v>
      </c>
      <c r="E129" s="45" t="s">
        <v>272</v>
      </c>
      <c r="F129" s="15">
        <v>44.94</v>
      </c>
      <c r="G129" s="15">
        <v>1.32</v>
      </c>
      <c r="H129" s="15">
        <v>0.06</v>
      </c>
      <c r="I129" s="9">
        <f t="shared" si="2"/>
        <v>46.32</v>
      </c>
    </row>
    <row r="130" spans="1:9" ht="21" customHeight="1">
      <c r="A130" s="28"/>
      <c r="B130" s="25" t="s">
        <v>273</v>
      </c>
      <c r="C130" s="25"/>
      <c r="D130" s="14">
        <v>83007946440</v>
      </c>
      <c r="E130" s="45" t="s">
        <v>274</v>
      </c>
      <c r="F130" s="15"/>
      <c r="G130" s="15"/>
      <c r="H130" s="15"/>
      <c r="I130" s="9">
        <f t="shared" si="2"/>
        <v>0</v>
      </c>
    </row>
    <row r="131" spans="1:9" ht="21" customHeight="1" thickBot="1">
      <c r="A131" s="10" t="s">
        <v>0</v>
      </c>
      <c r="B131" s="24"/>
      <c r="C131" s="24"/>
      <c r="D131" s="13"/>
      <c r="E131" s="13"/>
      <c r="F131" s="34"/>
      <c r="G131" s="34"/>
      <c r="H131" s="34"/>
      <c r="I131" s="38">
        <f>SUM(I8:I130)</f>
        <v>27274.935400000002</v>
      </c>
    </row>
    <row r="132" ht="21" customHeight="1" thickTop="1"/>
  </sheetData>
  <sheetProtection/>
  <mergeCells count="3">
    <mergeCell ref="G2:I2"/>
    <mergeCell ref="G4:I4"/>
    <mergeCell ref="H3:I3"/>
  </mergeCells>
  <printOptions horizontalCentered="1"/>
  <pageMargins left="0.3937007874015748" right="0.3937007874015748" top="0.5905511811023623" bottom="0.5905511811023623" header="0" footer="0"/>
  <pageSetup fitToHeight="0" fitToWidth="1" horizontalDpi="300" verticalDpi="300" orientation="portrait" paperSize="9" scale="31" r:id="rId3"/>
  <headerFooter alignWithMargins="0">
    <oddHeader>&amp;R&amp;D</oddHeader>
    <oddFooter>&amp;CPágina &amp;P de &amp;N</oddFooter>
  </headerFooter>
  <colBreaks count="1" manualBreakCount="1">
    <brk id="9" max="65535" man="1"/>
  </colBreaks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L131"/>
  <sheetViews>
    <sheetView zoomScale="90" zoomScaleNormal="90" zoomScalePageLayoutView="0" workbookViewId="0" topLeftCell="A129">
      <selection activeCell="A56" sqref="A54:IV56"/>
    </sheetView>
  </sheetViews>
  <sheetFormatPr defaultColWidth="11.421875" defaultRowHeight="12.75"/>
  <cols>
    <col min="1" max="1" width="12.8515625" style="1" customWidth="1"/>
    <col min="2" max="2" width="87.28125" style="21" customWidth="1"/>
    <col min="3" max="3" width="103.57421875" style="21" customWidth="1"/>
    <col min="4" max="4" width="22.421875" style="1" customWidth="1"/>
    <col min="5" max="5" width="34.00390625" style="1" hidden="1" customWidth="1"/>
    <col min="6" max="6" width="22.57421875" style="2" customWidth="1"/>
    <col min="7" max="7" width="23.421875" style="2" customWidth="1"/>
    <col min="8" max="8" width="19.140625" style="2" customWidth="1"/>
    <col min="9" max="9" width="18.28125" style="2" bestFit="1" customWidth="1"/>
    <col min="10" max="10" width="11.421875" style="1" customWidth="1"/>
    <col min="11" max="11" width="11.57421875" style="1" bestFit="1" customWidth="1"/>
    <col min="12" max="16384" width="11.421875" style="1" customWidth="1"/>
  </cols>
  <sheetData>
    <row r="1" spans="1:9" ht="15.75" customHeight="1">
      <c r="A1" s="52"/>
      <c r="B1" s="54"/>
      <c r="C1" s="54"/>
      <c r="F1" s="52"/>
      <c r="G1" s="52"/>
      <c r="H1" s="52"/>
      <c r="I1" s="52"/>
    </row>
    <row r="2" spans="1:9" ht="42.75" customHeight="1">
      <c r="A2" s="52"/>
      <c r="B2" s="54"/>
      <c r="C2" s="54"/>
      <c r="F2" s="101" t="s">
        <v>116</v>
      </c>
      <c r="G2" s="101"/>
      <c r="H2" s="101"/>
      <c r="I2" s="101"/>
    </row>
    <row r="3" spans="1:9" ht="33.75" customHeight="1">
      <c r="A3" s="52"/>
      <c r="B3" s="54"/>
      <c r="C3" s="54"/>
      <c r="F3" s="52"/>
      <c r="G3" s="100"/>
      <c r="H3" s="100"/>
      <c r="I3" s="100"/>
    </row>
    <row r="4" spans="1:9" ht="21.75" customHeight="1">
      <c r="A4" s="52"/>
      <c r="B4" s="54"/>
      <c r="C4" s="54"/>
      <c r="F4" s="99" t="s">
        <v>282</v>
      </c>
      <c r="G4" s="99"/>
      <c r="H4" s="99"/>
      <c r="I4" s="99"/>
    </row>
    <row r="5" spans="1:9" ht="15.75" customHeight="1">
      <c r="A5" s="52"/>
      <c r="B5" s="54"/>
      <c r="C5" s="54"/>
      <c r="F5" s="52"/>
      <c r="G5" s="52"/>
      <c r="H5" s="52"/>
      <c r="I5" s="52"/>
    </row>
    <row r="6" spans="1:9" ht="15.75" customHeight="1" thickBot="1">
      <c r="A6" s="55"/>
      <c r="B6" s="56"/>
      <c r="C6" s="56"/>
      <c r="D6" s="3"/>
      <c r="E6" s="3"/>
      <c r="F6" s="55"/>
      <c r="G6" s="55"/>
      <c r="H6" s="55"/>
      <c r="I6" s="52"/>
    </row>
    <row r="7" spans="1:9" ht="21" customHeight="1" thickTop="1">
      <c r="A7" s="57" t="s">
        <v>1</v>
      </c>
      <c r="B7" s="58" t="s">
        <v>3</v>
      </c>
      <c r="C7" s="23" t="s">
        <v>285</v>
      </c>
      <c r="D7" s="11" t="s">
        <v>2</v>
      </c>
      <c r="E7" s="11" t="s">
        <v>11</v>
      </c>
      <c r="F7" s="59" t="s">
        <v>4</v>
      </c>
      <c r="G7" s="59" t="s">
        <v>5</v>
      </c>
      <c r="H7" s="73" t="s">
        <v>13</v>
      </c>
      <c r="I7" s="53" t="s">
        <v>0</v>
      </c>
    </row>
    <row r="8" spans="1:9" ht="21" customHeight="1">
      <c r="A8" s="60"/>
      <c r="B8" s="72" t="s">
        <v>15</v>
      </c>
      <c r="C8" s="72" t="s">
        <v>316</v>
      </c>
      <c r="D8" s="12">
        <v>83006884161</v>
      </c>
      <c r="E8" s="30" t="s">
        <v>16</v>
      </c>
      <c r="F8" s="46">
        <v>130</v>
      </c>
      <c r="G8" s="46">
        <v>229</v>
      </c>
      <c r="H8" s="74">
        <v>119</v>
      </c>
      <c r="I8" s="51">
        <f>F8+G8+H8</f>
        <v>478</v>
      </c>
    </row>
    <row r="9" spans="1:9" ht="21" customHeight="1">
      <c r="A9" s="60"/>
      <c r="B9" s="26" t="s">
        <v>17</v>
      </c>
      <c r="C9" s="26" t="s">
        <v>314</v>
      </c>
      <c r="D9" s="12">
        <v>83001699293</v>
      </c>
      <c r="E9" s="30" t="s">
        <v>19</v>
      </c>
      <c r="F9" s="46">
        <v>1286</v>
      </c>
      <c r="G9" s="46">
        <v>0</v>
      </c>
      <c r="H9" s="74">
        <v>0</v>
      </c>
      <c r="I9" s="51">
        <f aca="true" t="shared" si="0" ref="I9:I59">F9+G9+H9</f>
        <v>1286</v>
      </c>
    </row>
    <row r="10" spans="1:9" ht="21" customHeight="1">
      <c r="A10" s="60"/>
      <c r="B10" s="26" t="s">
        <v>18</v>
      </c>
      <c r="C10" s="26" t="s">
        <v>324</v>
      </c>
      <c r="D10" s="12">
        <v>83002793469</v>
      </c>
      <c r="E10" s="30" t="s">
        <v>20</v>
      </c>
      <c r="F10" s="46">
        <v>305</v>
      </c>
      <c r="G10" s="46">
        <v>2687</v>
      </c>
      <c r="H10" s="74">
        <v>447</v>
      </c>
      <c r="I10" s="51">
        <f t="shared" si="0"/>
        <v>3439</v>
      </c>
    </row>
    <row r="11" spans="1:9" ht="21" customHeight="1">
      <c r="A11" s="60"/>
      <c r="B11" s="26" t="s">
        <v>21</v>
      </c>
      <c r="C11" s="26" t="s">
        <v>365</v>
      </c>
      <c r="D11" s="12">
        <v>83005319585</v>
      </c>
      <c r="E11" s="30" t="s">
        <v>22</v>
      </c>
      <c r="F11" s="46">
        <v>196</v>
      </c>
      <c r="G11" s="46">
        <v>446</v>
      </c>
      <c r="H11" s="74">
        <v>138</v>
      </c>
      <c r="I11" s="51">
        <f t="shared" si="0"/>
        <v>780</v>
      </c>
    </row>
    <row r="12" spans="1:9" ht="21" customHeight="1">
      <c r="A12" s="60"/>
      <c r="B12" s="26" t="s">
        <v>23</v>
      </c>
      <c r="C12" s="26" t="s">
        <v>325</v>
      </c>
      <c r="D12" s="61">
        <v>999395654431</v>
      </c>
      <c r="E12" s="30" t="s">
        <v>24</v>
      </c>
      <c r="F12" s="46">
        <v>476</v>
      </c>
      <c r="G12" s="46">
        <v>3303</v>
      </c>
      <c r="H12" s="74">
        <v>1665</v>
      </c>
      <c r="I12" s="51">
        <f t="shared" si="0"/>
        <v>5444</v>
      </c>
    </row>
    <row r="13" spans="1:9" ht="21" customHeight="1">
      <c r="A13" s="60"/>
      <c r="B13" s="26" t="s">
        <v>25</v>
      </c>
      <c r="C13" s="26" t="s">
        <v>315</v>
      </c>
      <c r="D13" s="61">
        <v>999395655454</v>
      </c>
      <c r="E13" s="30" t="s">
        <v>26</v>
      </c>
      <c r="F13" s="46">
        <v>576</v>
      </c>
      <c r="G13" s="46">
        <v>2133</v>
      </c>
      <c r="H13" s="74">
        <v>182</v>
      </c>
      <c r="I13" s="51">
        <f t="shared" si="0"/>
        <v>2891</v>
      </c>
    </row>
    <row r="14" spans="1:9" ht="21" customHeight="1">
      <c r="A14" s="60"/>
      <c r="B14" s="26" t="s">
        <v>27</v>
      </c>
      <c r="C14" s="26" t="s">
        <v>326</v>
      </c>
      <c r="D14" s="61">
        <v>512012286</v>
      </c>
      <c r="E14" s="30" t="s">
        <v>28</v>
      </c>
      <c r="F14" s="46">
        <v>248</v>
      </c>
      <c r="G14" s="46">
        <v>1640</v>
      </c>
      <c r="H14" s="74">
        <v>338</v>
      </c>
      <c r="I14" s="51">
        <f t="shared" si="0"/>
        <v>2226</v>
      </c>
    </row>
    <row r="15" spans="1:9" ht="21" customHeight="1">
      <c r="A15" s="60"/>
      <c r="B15" s="26" t="s">
        <v>29</v>
      </c>
      <c r="C15" s="26" t="s">
        <v>327</v>
      </c>
      <c r="D15" s="61">
        <v>999395659634</v>
      </c>
      <c r="E15" s="30" t="s">
        <v>30</v>
      </c>
      <c r="F15" s="46">
        <v>288</v>
      </c>
      <c r="G15" s="46">
        <v>1440</v>
      </c>
      <c r="H15" s="74">
        <v>408</v>
      </c>
      <c r="I15" s="51">
        <f t="shared" si="0"/>
        <v>2136</v>
      </c>
    </row>
    <row r="16" spans="1:9" ht="21" customHeight="1">
      <c r="A16" s="60"/>
      <c r="B16" s="26" t="s">
        <v>31</v>
      </c>
      <c r="C16" s="26" t="s">
        <v>317</v>
      </c>
      <c r="D16" s="61">
        <v>999395660462</v>
      </c>
      <c r="E16" s="30" t="s">
        <v>32</v>
      </c>
      <c r="F16" s="46">
        <v>250</v>
      </c>
      <c r="G16" s="46">
        <v>1222</v>
      </c>
      <c r="H16" s="74">
        <v>1343</v>
      </c>
      <c r="I16" s="51">
        <f t="shared" si="0"/>
        <v>2815</v>
      </c>
    </row>
    <row r="17" spans="1:9" ht="21" customHeight="1">
      <c r="A17" s="60"/>
      <c r="B17" s="26" t="s">
        <v>33</v>
      </c>
      <c r="C17" s="26" t="s">
        <v>366</v>
      </c>
      <c r="D17" s="61">
        <v>999395662284</v>
      </c>
      <c r="E17" s="30" t="s">
        <v>34</v>
      </c>
      <c r="F17" s="46">
        <v>2510</v>
      </c>
      <c r="G17" s="46">
        <v>5601</v>
      </c>
      <c r="H17" s="74">
        <v>3238</v>
      </c>
      <c r="I17" s="51">
        <f t="shared" si="0"/>
        <v>11349</v>
      </c>
    </row>
    <row r="18" spans="1:9" ht="21" customHeight="1">
      <c r="A18" s="60"/>
      <c r="B18" s="26" t="s">
        <v>35</v>
      </c>
      <c r="C18" s="26" t="s">
        <v>292</v>
      </c>
      <c r="D18" s="61">
        <v>999395662947</v>
      </c>
      <c r="E18" s="30" t="s">
        <v>36</v>
      </c>
      <c r="F18" s="46">
        <v>1074</v>
      </c>
      <c r="G18" s="46">
        <v>1299</v>
      </c>
      <c r="H18" s="74">
        <v>272</v>
      </c>
      <c r="I18" s="51">
        <f t="shared" si="0"/>
        <v>2645</v>
      </c>
    </row>
    <row r="19" spans="1:9" ht="21" customHeight="1">
      <c r="A19" s="60"/>
      <c r="B19" s="26" t="s">
        <v>37</v>
      </c>
      <c r="C19" s="26" t="s">
        <v>369</v>
      </c>
      <c r="D19" s="61">
        <v>999395663410</v>
      </c>
      <c r="E19" s="30" t="s">
        <v>38</v>
      </c>
      <c r="F19" s="46">
        <v>980</v>
      </c>
      <c r="G19" s="46">
        <v>1068</v>
      </c>
      <c r="H19" s="74">
        <v>332</v>
      </c>
      <c r="I19" s="51">
        <f t="shared" si="0"/>
        <v>2380</v>
      </c>
    </row>
    <row r="20" spans="1:9" ht="21" customHeight="1">
      <c r="A20" s="60"/>
      <c r="B20" s="26" t="s">
        <v>39</v>
      </c>
      <c r="C20" s="26" t="s">
        <v>293</v>
      </c>
      <c r="D20" s="61">
        <v>999395665004</v>
      </c>
      <c r="E20" s="30" t="s">
        <v>40</v>
      </c>
      <c r="F20" s="46">
        <v>2116</v>
      </c>
      <c r="G20" s="46">
        <v>2763</v>
      </c>
      <c r="H20" s="74">
        <v>992</v>
      </c>
      <c r="I20" s="51">
        <f t="shared" si="0"/>
        <v>5871</v>
      </c>
    </row>
    <row r="21" spans="1:9" ht="21" customHeight="1">
      <c r="A21" s="60"/>
      <c r="B21" s="26" t="s">
        <v>41</v>
      </c>
      <c r="C21" s="26" t="s">
        <v>367</v>
      </c>
      <c r="D21" s="61">
        <v>999395665500</v>
      </c>
      <c r="E21" s="30" t="s">
        <v>42</v>
      </c>
      <c r="F21" s="46">
        <v>639</v>
      </c>
      <c r="G21" s="46">
        <v>1995</v>
      </c>
      <c r="H21" s="74">
        <v>850</v>
      </c>
      <c r="I21" s="51">
        <f t="shared" si="0"/>
        <v>3484</v>
      </c>
    </row>
    <row r="22" spans="1:9" ht="21" customHeight="1">
      <c r="A22" s="60"/>
      <c r="B22" s="26" t="s">
        <v>43</v>
      </c>
      <c r="C22" s="93"/>
      <c r="D22" s="61">
        <v>999395674678</v>
      </c>
      <c r="E22" s="30" t="s">
        <v>44</v>
      </c>
      <c r="F22" s="46">
        <v>0</v>
      </c>
      <c r="G22" s="46">
        <v>636</v>
      </c>
      <c r="H22" s="74">
        <v>326</v>
      </c>
      <c r="I22" s="51">
        <f t="shared" si="0"/>
        <v>962</v>
      </c>
    </row>
    <row r="23" spans="1:9" ht="21" customHeight="1">
      <c r="A23" s="60"/>
      <c r="B23" s="26" t="s">
        <v>45</v>
      </c>
      <c r="C23" s="26" t="s">
        <v>307</v>
      </c>
      <c r="D23" s="61">
        <v>999395675751</v>
      </c>
      <c r="E23" s="30" t="s">
        <v>46</v>
      </c>
      <c r="F23" s="46">
        <v>1263</v>
      </c>
      <c r="G23" s="46">
        <v>2577</v>
      </c>
      <c r="H23" s="74">
        <v>537</v>
      </c>
      <c r="I23" s="51">
        <f t="shared" si="0"/>
        <v>4377</v>
      </c>
    </row>
    <row r="24" spans="1:9" s="19" customFormat="1" ht="21" customHeight="1">
      <c r="A24" s="60"/>
      <c r="B24" s="26" t="s">
        <v>47</v>
      </c>
      <c r="C24" s="26" t="s">
        <v>318</v>
      </c>
      <c r="D24" s="61">
        <v>999395676257</v>
      </c>
      <c r="E24" s="30" t="s">
        <v>48</v>
      </c>
      <c r="F24" s="46">
        <v>237</v>
      </c>
      <c r="G24" s="46">
        <v>354</v>
      </c>
      <c r="H24" s="74">
        <v>106</v>
      </c>
      <c r="I24" s="51">
        <f t="shared" si="0"/>
        <v>697</v>
      </c>
    </row>
    <row r="25" spans="1:9" s="19" customFormat="1" ht="21" customHeight="1">
      <c r="A25" s="60"/>
      <c r="B25" s="26" t="s">
        <v>49</v>
      </c>
      <c r="C25" s="26" t="s">
        <v>328</v>
      </c>
      <c r="D25" s="61">
        <v>999395676905</v>
      </c>
      <c r="E25" s="30" t="s">
        <v>50</v>
      </c>
      <c r="F25" s="46">
        <v>105</v>
      </c>
      <c r="G25" s="46">
        <v>830</v>
      </c>
      <c r="H25" s="74">
        <v>92</v>
      </c>
      <c r="I25" s="51">
        <f t="shared" si="0"/>
        <v>1027</v>
      </c>
    </row>
    <row r="26" spans="1:9" ht="21" customHeight="1">
      <c r="A26" s="60"/>
      <c r="B26" s="26" t="s">
        <v>51</v>
      </c>
      <c r="C26" s="93"/>
      <c r="D26" s="61">
        <v>999395677339</v>
      </c>
      <c r="E26" s="30" t="s">
        <v>52</v>
      </c>
      <c r="F26" s="46">
        <v>1030</v>
      </c>
      <c r="G26" s="46">
        <v>1408</v>
      </c>
      <c r="H26" s="74">
        <v>1</v>
      </c>
      <c r="I26" s="51">
        <f t="shared" si="0"/>
        <v>2439</v>
      </c>
    </row>
    <row r="27" spans="1:9" ht="21" customHeight="1">
      <c r="A27" s="60"/>
      <c r="B27" s="26" t="s">
        <v>53</v>
      </c>
      <c r="C27" s="93"/>
      <c r="D27" s="61">
        <v>999395680029</v>
      </c>
      <c r="E27" s="30" t="s">
        <v>54</v>
      </c>
      <c r="F27" s="46">
        <v>859</v>
      </c>
      <c r="G27" s="46">
        <v>1161</v>
      </c>
      <c r="H27" s="74">
        <v>2</v>
      </c>
      <c r="I27" s="51">
        <f t="shared" si="0"/>
        <v>2022</v>
      </c>
    </row>
    <row r="28" spans="1:9" ht="21" customHeight="1">
      <c r="A28" s="60"/>
      <c r="B28" s="26" t="s">
        <v>55</v>
      </c>
      <c r="C28" s="26" t="s">
        <v>294</v>
      </c>
      <c r="D28" s="61">
        <v>999395682858</v>
      </c>
      <c r="E28" s="30" t="s">
        <v>56</v>
      </c>
      <c r="F28" s="46">
        <v>905</v>
      </c>
      <c r="G28" s="46">
        <v>1167</v>
      </c>
      <c r="H28" s="74">
        <v>506</v>
      </c>
      <c r="I28" s="51">
        <f t="shared" si="0"/>
        <v>2578</v>
      </c>
    </row>
    <row r="29" spans="1:9" ht="21" customHeight="1">
      <c r="A29" s="60"/>
      <c r="B29" s="26" t="s">
        <v>57</v>
      </c>
      <c r="C29" s="26" t="s">
        <v>295</v>
      </c>
      <c r="D29" s="12">
        <v>512095448</v>
      </c>
      <c r="E29" s="30" t="s">
        <v>58</v>
      </c>
      <c r="F29" s="46">
        <v>1873</v>
      </c>
      <c r="G29" s="46">
        <v>2581</v>
      </c>
      <c r="H29" s="74">
        <v>739</v>
      </c>
      <c r="I29" s="51">
        <f t="shared" si="0"/>
        <v>5193</v>
      </c>
    </row>
    <row r="30" spans="1:9" ht="21" customHeight="1">
      <c r="A30" s="60"/>
      <c r="B30" s="26" t="s">
        <v>59</v>
      </c>
      <c r="C30" s="26" t="s">
        <v>296</v>
      </c>
      <c r="D30" s="61">
        <v>999395695033</v>
      </c>
      <c r="E30" s="30" t="s">
        <v>60</v>
      </c>
      <c r="F30" s="46">
        <v>2599.5</v>
      </c>
      <c r="G30" s="46">
        <v>0</v>
      </c>
      <c r="H30" s="74">
        <v>0</v>
      </c>
      <c r="I30" s="51">
        <f t="shared" si="0"/>
        <v>2599.5</v>
      </c>
    </row>
    <row r="31" spans="1:9" ht="21" customHeight="1">
      <c r="A31" s="60"/>
      <c r="B31" s="26" t="s">
        <v>61</v>
      </c>
      <c r="C31" s="26" t="s">
        <v>296</v>
      </c>
      <c r="D31" s="61">
        <v>999395696742</v>
      </c>
      <c r="E31" s="30" t="s">
        <v>62</v>
      </c>
      <c r="F31" s="46">
        <f>8590/2</f>
        <v>4295</v>
      </c>
      <c r="G31" s="46">
        <v>0</v>
      </c>
      <c r="H31" s="74">
        <v>0</v>
      </c>
      <c r="I31" s="51">
        <f t="shared" si="0"/>
        <v>4295</v>
      </c>
    </row>
    <row r="32" spans="1:9" ht="21" customHeight="1">
      <c r="A32" s="60"/>
      <c r="B32" s="26" t="s">
        <v>63</v>
      </c>
      <c r="C32" s="26" t="s">
        <v>308</v>
      </c>
      <c r="D32" s="61">
        <v>999395697615</v>
      </c>
      <c r="E32" s="30" t="s">
        <v>64</v>
      </c>
      <c r="F32" s="46">
        <f>5155/2</f>
        <v>2577.5</v>
      </c>
      <c r="G32" s="46">
        <v>0</v>
      </c>
      <c r="H32" s="74">
        <v>0</v>
      </c>
      <c r="I32" s="51">
        <f t="shared" si="0"/>
        <v>2577.5</v>
      </c>
    </row>
    <row r="33" spans="1:9" ht="21" customHeight="1">
      <c r="A33" s="60"/>
      <c r="B33" s="26" t="s">
        <v>65</v>
      </c>
      <c r="C33" s="26" t="s">
        <v>297</v>
      </c>
      <c r="D33" s="61">
        <v>999395698321</v>
      </c>
      <c r="E33" s="30" t="s">
        <v>66</v>
      </c>
      <c r="F33" s="46">
        <f>4958/2</f>
        <v>2479</v>
      </c>
      <c r="G33" s="46">
        <v>0</v>
      </c>
      <c r="H33" s="74">
        <v>0</v>
      </c>
      <c r="I33" s="51">
        <f t="shared" si="0"/>
        <v>2479</v>
      </c>
    </row>
    <row r="34" spans="1:9" ht="21" customHeight="1">
      <c r="A34" s="60"/>
      <c r="B34" s="26" t="s">
        <v>67</v>
      </c>
      <c r="C34" s="26" t="s">
        <v>309</v>
      </c>
      <c r="D34" s="62">
        <v>999395698661</v>
      </c>
      <c r="E34" s="31" t="s">
        <v>68</v>
      </c>
      <c r="F34" s="47">
        <f>1933/2</f>
        <v>966.5</v>
      </c>
      <c r="G34" s="47">
        <v>0</v>
      </c>
      <c r="H34" s="75">
        <v>0</v>
      </c>
      <c r="I34" s="51">
        <f t="shared" si="0"/>
        <v>966.5</v>
      </c>
    </row>
    <row r="35" spans="1:9" ht="21" customHeight="1">
      <c r="A35" s="60"/>
      <c r="B35" s="26" t="s">
        <v>69</v>
      </c>
      <c r="C35" s="26"/>
      <c r="D35" s="61">
        <v>999395699042</v>
      </c>
      <c r="E35" s="30" t="s">
        <v>70</v>
      </c>
      <c r="F35" s="46">
        <v>3132.5</v>
      </c>
      <c r="G35" s="46">
        <v>0</v>
      </c>
      <c r="H35" s="74">
        <v>0</v>
      </c>
      <c r="I35" s="51">
        <f t="shared" si="0"/>
        <v>3132.5</v>
      </c>
    </row>
    <row r="36" spans="1:12" s="20" customFormat="1" ht="21" customHeight="1">
      <c r="A36" s="60"/>
      <c r="B36" s="26" t="s">
        <v>71</v>
      </c>
      <c r="C36" s="93"/>
      <c r="D36" s="61">
        <v>999395699192</v>
      </c>
      <c r="E36" s="30" t="s">
        <v>72</v>
      </c>
      <c r="F36" s="47">
        <f>1772/2</f>
        <v>886</v>
      </c>
      <c r="G36" s="47">
        <v>0</v>
      </c>
      <c r="H36" s="75">
        <v>0</v>
      </c>
      <c r="I36" s="92">
        <f t="shared" si="0"/>
        <v>886</v>
      </c>
      <c r="J36" s="19"/>
      <c r="K36" s="19"/>
      <c r="L36" s="19"/>
    </row>
    <row r="37" spans="1:9" ht="21" customHeight="1">
      <c r="A37" s="60"/>
      <c r="B37" s="26" t="s">
        <v>73</v>
      </c>
      <c r="C37" s="93"/>
      <c r="D37" s="61">
        <v>999395699382</v>
      </c>
      <c r="E37" s="30" t="s">
        <v>74</v>
      </c>
      <c r="F37" s="46">
        <f>2008/2</f>
        <v>1004</v>
      </c>
      <c r="G37" s="46">
        <v>0</v>
      </c>
      <c r="H37" s="74">
        <v>0</v>
      </c>
      <c r="I37" s="51">
        <f t="shared" si="0"/>
        <v>1004</v>
      </c>
    </row>
    <row r="38" spans="1:9" ht="21" customHeight="1">
      <c r="A38" s="60"/>
      <c r="B38" s="26" t="s">
        <v>75</v>
      </c>
      <c r="C38" s="26" t="s">
        <v>298</v>
      </c>
      <c r="D38" s="61">
        <v>999395699631</v>
      </c>
      <c r="E38" s="30" t="s">
        <v>76</v>
      </c>
      <c r="F38" s="46">
        <f>554/2</f>
        <v>277</v>
      </c>
      <c r="G38" s="46">
        <v>0</v>
      </c>
      <c r="H38" s="74">
        <v>0</v>
      </c>
      <c r="I38" s="51">
        <f t="shared" si="0"/>
        <v>277</v>
      </c>
    </row>
    <row r="39" spans="1:9" ht="21" customHeight="1">
      <c r="A39" s="60"/>
      <c r="B39" s="26" t="s">
        <v>77</v>
      </c>
      <c r="C39" s="93"/>
      <c r="D39" s="61">
        <v>999395699855</v>
      </c>
      <c r="E39" s="30" t="s">
        <v>78</v>
      </c>
      <c r="F39" s="46">
        <f>1829/2</f>
        <v>914.5</v>
      </c>
      <c r="G39" s="46">
        <v>0</v>
      </c>
      <c r="H39" s="74">
        <v>0</v>
      </c>
      <c r="I39" s="51">
        <f t="shared" si="0"/>
        <v>914.5</v>
      </c>
    </row>
    <row r="40" spans="1:9" ht="21" customHeight="1">
      <c r="A40" s="60"/>
      <c r="B40" s="26" t="s">
        <v>79</v>
      </c>
      <c r="C40" s="26" t="s">
        <v>299</v>
      </c>
      <c r="D40" s="61">
        <v>999395699914</v>
      </c>
      <c r="E40" s="30" t="s">
        <v>80</v>
      </c>
      <c r="F40" s="46">
        <f>3489/2</f>
        <v>1744.5</v>
      </c>
      <c r="G40" s="46">
        <v>0</v>
      </c>
      <c r="H40" s="74">
        <v>0</v>
      </c>
      <c r="I40" s="51">
        <f t="shared" si="0"/>
        <v>1744.5</v>
      </c>
    </row>
    <row r="41" spans="1:9" ht="21" customHeight="1">
      <c r="A41" s="60"/>
      <c r="B41" s="26" t="s">
        <v>81</v>
      </c>
      <c r="C41" s="26" t="s">
        <v>329</v>
      </c>
      <c r="D41" s="61">
        <v>999395720675</v>
      </c>
      <c r="E41" s="30" t="s">
        <v>82</v>
      </c>
      <c r="F41" s="46">
        <f>6148/2</f>
        <v>3074</v>
      </c>
      <c r="G41" s="46">
        <v>0</v>
      </c>
      <c r="H41" s="74">
        <v>0</v>
      </c>
      <c r="I41" s="51">
        <f t="shared" si="0"/>
        <v>3074</v>
      </c>
    </row>
    <row r="42" spans="1:9" ht="21" customHeight="1">
      <c r="A42" s="60"/>
      <c r="B42" s="26" t="s">
        <v>83</v>
      </c>
      <c r="C42" s="26" t="s">
        <v>300</v>
      </c>
      <c r="D42" s="61">
        <v>999395721493</v>
      </c>
      <c r="E42" s="30" t="s">
        <v>84</v>
      </c>
      <c r="F42" s="46">
        <f>5882/2</f>
        <v>2941</v>
      </c>
      <c r="G42" s="46">
        <v>0</v>
      </c>
      <c r="H42" s="74">
        <v>0</v>
      </c>
      <c r="I42" s="51">
        <f t="shared" si="0"/>
        <v>2941</v>
      </c>
    </row>
    <row r="43" spans="1:9" ht="21" customHeight="1">
      <c r="A43" s="60"/>
      <c r="B43" s="26" t="s">
        <v>85</v>
      </c>
      <c r="C43" s="26"/>
      <c r="D43" s="61">
        <v>999395728957</v>
      </c>
      <c r="E43" s="30" t="s">
        <v>86</v>
      </c>
      <c r="F43" s="46">
        <f>343/2</f>
        <v>171.5</v>
      </c>
      <c r="G43" s="46">
        <v>0</v>
      </c>
      <c r="H43" s="74">
        <v>0</v>
      </c>
      <c r="I43" s="51">
        <f t="shared" si="0"/>
        <v>171.5</v>
      </c>
    </row>
    <row r="44" spans="1:9" ht="21" customHeight="1">
      <c r="A44" s="60"/>
      <c r="B44" s="26" t="s">
        <v>87</v>
      </c>
      <c r="C44" s="26" t="s">
        <v>330</v>
      </c>
      <c r="D44" s="61">
        <v>999395729357</v>
      </c>
      <c r="E44" s="30" t="s">
        <v>88</v>
      </c>
      <c r="F44" s="46">
        <f>922/2</f>
        <v>461</v>
      </c>
      <c r="G44" s="46">
        <v>0</v>
      </c>
      <c r="H44" s="74">
        <v>0</v>
      </c>
      <c r="I44" s="51">
        <f t="shared" si="0"/>
        <v>461</v>
      </c>
    </row>
    <row r="45" spans="1:9" ht="21" customHeight="1">
      <c r="A45" s="60"/>
      <c r="B45" s="26" t="s">
        <v>89</v>
      </c>
      <c r="C45" s="93"/>
      <c r="D45" s="61">
        <v>999395729815</v>
      </c>
      <c r="E45" s="30" t="s">
        <v>90</v>
      </c>
      <c r="F45" s="46">
        <f>935/2</f>
        <v>467.5</v>
      </c>
      <c r="G45" s="46">
        <v>0</v>
      </c>
      <c r="H45" s="74">
        <v>0</v>
      </c>
      <c r="I45" s="51">
        <f t="shared" si="0"/>
        <v>467.5</v>
      </c>
    </row>
    <row r="46" spans="1:9" ht="21" customHeight="1">
      <c r="A46" s="60"/>
      <c r="B46" s="26" t="s">
        <v>94</v>
      </c>
      <c r="C46" s="26" t="s">
        <v>331</v>
      </c>
      <c r="D46" s="61">
        <v>999395730546</v>
      </c>
      <c r="E46" s="30" t="s">
        <v>91</v>
      </c>
      <c r="F46" s="46">
        <f>29/2</f>
        <v>14.5</v>
      </c>
      <c r="G46" s="46">
        <v>0</v>
      </c>
      <c r="H46" s="74">
        <v>0</v>
      </c>
      <c r="I46" s="51">
        <f t="shared" si="0"/>
        <v>14.5</v>
      </c>
    </row>
    <row r="47" spans="1:9" ht="21" customHeight="1">
      <c r="A47" s="60"/>
      <c r="B47" s="26" t="s">
        <v>92</v>
      </c>
      <c r="C47" s="26" t="s">
        <v>319</v>
      </c>
      <c r="D47" s="61">
        <v>999395731005</v>
      </c>
      <c r="E47" s="32" t="s">
        <v>93</v>
      </c>
      <c r="F47" s="46">
        <f>1669/2</f>
        <v>834.5</v>
      </c>
      <c r="G47" s="46">
        <v>0</v>
      </c>
      <c r="H47" s="74">
        <v>0</v>
      </c>
      <c r="I47" s="51">
        <f t="shared" si="0"/>
        <v>834.5</v>
      </c>
    </row>
    <row r="48" spans="1:9" ht="21" customHeight="1">
      <c r="A48" s="60"/>
      <c r="B48" s="26" t="s">
        <v>95</v>
      </c>
      <c r="C48" s="93"/>
      <c r="D48" s="61">
        <v>999395731797</v>
      </c>
      <c r="E48" s="30" t="s">
        <v>96</v>
      </c>
      <c r="F48" s="46">
        <f>1657/2</f>
        <v>828.5</v>
      </c>
      <c r="G48" s="46">
        <v>0</v>
      </c>
      <c r="H48" s="74">
        <v>0</v>
      </c>
      <c r="I48" s="51">
        <f t="shared" si="0"/>
        <v>828.5</v>
      </c>
    </row>
    <row r="49" spans="1:9" ht="21" customHeight="1">
      <c r="A49" s="60"/>
      <c r="B49" s="26" t="s">
        <v>97</v>
      </c>
      <c r="C49" s="26"/>
      <c r="D49" s="61">
        <v>999395850272</v>
      </c>
      <c r="E49" s="30" t="s">
        <v>98</v>
      </c>
      <c r="F49" s="46">
        <v>1</v>
      </c>
      <c r="G49" s="46">
        <v>1828</v>
      </c>
      <c r="H49" s="74">
        <v>3603</v>
      </c>
      <c r="I49" s="51">
        <f t="shared" si="0"/>
        <v>5432</v>
      </c>
    </row>
    <row r="50" spans="1:9" ht="21" customHeight="1">
      <c r="A50" s="60"/>
      <c r="B50" s="26" t="s">
        <v>99</v>
      </c>
      <c r="C50" s="93"/>
      <c r="D50" s="61">
        <v>999395869847</v>
      </c>
      <c r="E50" s="30" t="s">
        <v>100</v>
      </c>
      <c r="F50" s="46">
        <v>595</v>
      </c>
      <c r="G50" s="46">
        <v>1989</v>
      </c>
      <c r="H50" s="74">
        <v>0</v>
      </c>
      <c r="I50" s="51">
        <f t="shared" si="0"/>
        <v>2584</v>
      </c>
    </row>
    <row r="51" spans="1:9" ht="21" customHeight="1">
      <c r="A51" s="60"/>
      <c r="B51" s="26" t="s">
        <v>101</v>
      </c>
      <c r="C51" s="26" t="s">
        <v>371</v>
      </c>
      <c r="D51" s="12">
        <v>83007836944</v>
      </c>
      <c r="E51" s="30" t="s">
        <v>102</v>
      </c>
      <c r="F51" s="46">
        <f>710/2</f>
        <v>355</v>
      </c>
      <c r="G51" s="46">
        <v>0</v>
      </c>
      <c r="H51" s="74">
        <v>0</v>
      </c>
      <c r="I51" s="51">
        <f t="shared" si="0"/>
        <v>355</v>
      </c>
    </row>
    <row r="52" spans="1:9" ht="21" customHeight="1">
      <c r="A52" s="60"/>
      <c r="B52" s="26" t="s">
        <v>103</v>
      </c>
      <c r="C52" s="26" t="s">
        <v>286</v>
      </c>
      <c r="D52" s="61">
        <v>999418107083</v>
      </c>
      <c r="E52" s="30" t="s">
        <v>104</v>
      </c>
      <c r="F52" s="46">
        <f>20243/2</f>
        <v>10121.5</v>
      </c>
      <c r="G52" s="46">
        <v>0</v>
      </c>
      <c r="H52" s="74">
        <v>0</v>
      </c>
      <c r="I52" s="51">
        <f t="shared" si="0"/>
        <v>10121.5</v>
      </c>
    </row>
    <row r="53" spans="1:9" ht="21" customHeight="1">
      <c r="A53" s="60"/>
      <c r="B53" s="26" t="s">
        <v>105</v>
      </c>
      <c r="C53" s="26" t="s">
        <v>332</v>
      </c>
      <c r="D53" s="61">
        <v>999418108530</v>
      </c>
      <c r="E53" s="30" t="s">
        <v>106</v>
      </c>
      <c r="F53" s="46">
        <v>467</v>
      </c>
      <c r="G53" s="46">
        <v>937</v>
      </c>
      <c r="H53" s="74">
        <v>85</v>
      </c>
      <c r="I53" s="51">
        <f t="shared" si="0"/>
        <v>1489</v>
      </c>
    </row>
    <row r="54" spans="1:9" ht="21" customHeight="1">
      <c r="A54" s="60"/>
      <c r="B54" s="26" t="s">
        <v>107</v>
      </c>
      <c r="C54" s="26" t="s">
        <v>302</v>
      </c>
      <c r="D54" s="61">
        <v>999444028261</v>
      </c>
      <c r="E54" s="30" t="s">
        <v>108</v>
      </c>
      <c r="F54" s="46">
        <v>13</v>
      </c>
      <c r="G54" s="46">
        <v>43</v>
      </c>
      <c r="H54" s="74">
        <v>28</v>
      </c>
      <c r="I54" s="51">
        <f t="shared" si="0"/>
        <v>84</v>
      </c>
    </row>
    <row r="55" spans="1:9" ht="21" customHeight="1">
      <c r="A55" s="60"/>
      <c r="B55" s="26" t="s">
        <v>109</v>
      </c>
      <c r="C55" s="26" t="s">
        <v>313</v>
      </c>
      <c r="D55" s="12">
        <v>83000769293</v>
      </c>
      <c r="E55" s="30" t="s">
        <v>110</v>
      </c>
      <c r="F55" s="46">
        <v>268</v>
      </c>
      <c r="G55" s="46">
        <v>897</v>
      </c>
      <c r="H55" s="74">
        <v>170</v>
      </c>
      <c r="I55" s="51">
        <f t="shared" si="0"/>
        <v>1335</v>
      </c>
    </row>
    <row r="56" spans="1:9" s="19" customFormat="1" ht="21" customHeight="1">
      <c r="A56" s="60"/>
      <c r="B56" s="35" t="s">
        <v>125</v>
      </c>
      <c r="C56" s="94"/>
      <c r="D56" s="36">
        <v>60006203645</v>
      </c>
      <c r="E56" s="37" t="s">
        <v>126</v>
      </c>
      <c r="F56" s="48">
        <v>170</v>
      </c>
      <c r="G56" s="46">
        <v>0</v>
      </c>
      <c r="H56" s="48">
        <v>0</v>
      </c>
      <c r="I56" s="51">
        <f t="shared" si="0"/>
        <v>170</v>
      </c>
    </row>
    <row r="57" spans="1:12" s="29" customFormat="1" ht="21" customHeight="1">
      <c r="A57" s="60"/>
      <c r="B57" s="26" t="s">
        <v>127</v>
      </c>
      <c r="C57" s="93"/>
      <c r="D57" s="12">
        <v>60007966411</v>
      </c>
      <c r="E57" s="30" t="s">
        <v>128</v>
      </c>
      <c r="F57" s="46">
        <v>407</v>
      </c>
      <c r="G57" s="46">
        <v>0</v>
      </c>
      <c r="H57" s="74">
        <v>0</v>
      </c>
      <c r="I57" s="51">
        <f t="shared" si="0"/>
        <v>407</v>
      </c>
      <c r="J57" s="19"/>
      <c r="K57" s="19"/>
      <c r="L57" s="19"/>
    </row>
    <row r="58" spans="1:12" s="29" customFormat="1" ht="21" customHeight="1">
      <c r="A58" s="60"/>
      <c r="B58" s="26" t="s">
        <v>129</v>
      </c>
      <c r="C58" s="26" t="s">
        <v>289</v>
      </c>
      <c r="D58" s="12">
        <v>60006643135</v>
      </c>
      <c r="E58" s="30" t="s">
        <v>130</v>
      </c>
      <c r="F58" s="46">
        <f>732/2</f>
        <v>366</v>
      </c>
      <c r="G58" s="46">
        <v>0</v>
      </c>
      <c r="H58" s="74">
        <v>0</v>
      </c>
      <c r="I58" s="51">
        <f t="shared" si="0"/>
        <v>366</v>
      </c>
      <c r="J58" s="19"/>
      <c r="K58" s="19"/>
      <c r="L58" s="19"/>
    </row>
    <row r="59" spans="1:9" ht="21" customHeight="1">
      <c r="A59" s="60"/>
      <c r="B59" s="26" t="s">
        <v>131</v>
      </c>
      <c r="C59" s="93"/>
      <c r="D59" s="12">
        <v>60007843244</v>
      </c>
      <c r="E59" s="30" t="s">
        <v>132</v>
      </c>
      <c r="F59" s="46">
        <f>831/2</f>
        <v>415.5</v>
      </c>
      <c r="G59" s="46">
        <v>0</v>
      </c>
      <c r="H59" s="74">
        <v>0</v>
      </c>
      <c r="I59" s="51">
        <f t="shared" si="0"/>
        <v>415.5</v>
      </c>
    </row>
    <row r="60" spans="1:9" ht="21" customHeight="1">
      <c r="A60" s="60"/>
      <c r="B60" s="26" t="s">
        <v>133</v>
      </c>
      <c r="C60" s="26" t="s">
        <v>322</v>
      </c>
      <c r="D60" s="12">
        <v>60007843069</v>
      </c>
      <c r="E60" s="30" t="s">
        <v>134</v>
      </c>
      <c r="F60" s="46">
        <f>785/2</f>
        <v>392.5</v>
      </c>
      <c r="G60" s="46">
        <v>0</v>
      </c>
      <c r="H60" s="74">
        <v>0</v>
      </c>
      <c r="I60" s="51">
        <f aca="true" t="shared" si="1" ref="I60:I120">F60+G60+H60</f>
        <v>392.5</v>
      </c>
    </row>
    <row r="61" spans="1:9" ht="21" customHeight="1">
      <c r="A61" s="60"/>
      <c r="B61" s="26" t="s">
        <v>135</v>
      </c>
      <c r="C61" s="26" t="s">
        <v>353</v>
      </c>
      <c r="D61" s="12">
        <v>60007843073</v>
      </c>
      <c r="E61" s="30" t="s">
        <v>136</v>
      </c>
      <c r="F61" s="46">
        <f>728/2</f>
        <v>364</v>
      </c>
      <c r="G61" s="46">
        <v>0</v>
      </c>
      <c r="H61" s="74">
        <v>0</v>
      </c>
      <c r="I61" s="51">
        <f t="shared" si="1"/>
        <v>364</v>
      </c>
    </row>
    <row r="62" spans="1:9" ht="21" customHeight="1">
      <c r="A62" s="60"/>
      <c r="B62" s="26" t="s">
        <v>137</v>
      </c>
      <c r="C62" s="93"/>
      <c r="D62" s="12">
        <v>60007843356</v>
      </c>
      <c r="E62" s="30" t="s">
        <v>138</v>
      </c>
      <c r="F62" s="46">
        <f>134/2</f>
        <v>67</v>
      </c>
      <c r="G62" s="46">
        <v>0</v>
      </c>
      <c r="H62" s="74">
        <v>0</v>
      </c>
      <c r="I62" s="51">
        <f t="shared" si="1"/>
        <v>67</v>
      </c>
    </row>
    <row r="63" spans="1:9" ht="21" customHeight="1">
      <c r="A63" s="60"/>
      <c r="B63" s="26" t="s">
        <v>139</v>
      </c>
      <c r="C63" s="93"/>
      <c r="D63" s="12">
        <v>60007847274</v>
      </c>
      <c r="E63" s="30" t="s">
        <v>140</v>
      </c>
      <c r="F63" s="46">
        <f>263/2</f>
        <v>131.5</v>
      </c>
      <c r="G63" s="46">
        <v>0</v>
      </c>
      <c r="H63" s="74">
        <v>0</v>
      </c>
      <c r="I63" s="51">
        <f t="shared" si="1"/>
        <v>131.5</v>
      </c>
    </row>
    <row r="64" spans="1:9" ht="21" customHeight="1">
      <c r="A64" s="60"/>
      <c r="B64" s="26" t="s">
        <v>141</v>
      </c>
      <c r="C64" s="93"/>
      <c r="D64" s="12">
        <v>60007847482</v>
      </c>
      <c r="E64" s="30" t="s">
        <v>142</v>
      </c>
      <c r="F64" s="46">
        <v>396</v>
      </c>
      <c r="G64" s="46">
        <v>0</v>
      </c>
      <c r="H64" s="74">
        <v>0</v>
      </c>
      <c r="I64" s="51">
        <f t="shared" si="1"/>
        <v>396</v>
      </c>
    </row>
    <row r="65" spans="1:9" ht="21" customHeight="1">
      <c r="A65" s="60"/>
      <c r="B65" s="26" t="s">
        <v>143</v>
      </c>
      <c r="C65" s="26" t="s">
        <v>323</v>
      </c>
      <c r="D65" s="12">
        <v>60007858040</v>
      </c>
      <c r="E65" s="78" t="s">
        <v>144</v>
      </c>
      <c r="F65" s="46">
        <v>31</v>
      </c>
      <c r="G65" s="46">
        <v>0</v>
      </c>
      <c r="H65" s="74">
        <v>0</v>
      </c>
      <c r="I65" s="51">
        <f t="shared" si="1"/>
        <v>31</v>
      </c>
    </row>
    <row r="66" spans="1:9" ht="21" customHeight="1">
      <c r="A66" s="60"/>
      <c r="B66" s="43" t="s">
        <v>145</v>
      </c>
      <c r="C66" s="43" t="s">
        <v>358</v>
      </c>
      <c r="D66" s="44">
        <v>60007889355</v>
      </c>
      <c r="E66" s="37" t="s">
        <v>146</v>
      </c>
      <c r="F66" s="46">
        <f>265/2</f>
        <v>132.5</v>
      </c>
      <c r="G66" s="46">
        <v>0</v>
      </c>
      <c r="H66" s="74">
        <v>0</v>
      </c>
      <c r="I66" s="51">
        <f t="shared" si="1"/>
        <v>132.5</v>
      </c>
    </row>
    <row r="67" spans="1:9" ht="21" customHeight="1">
      <c r="A67" s="60"/>
      <c r="B67" s="41" t="s">
        <v>147</v>
      </c>
      <c r="C67" s="41" t="s">
        <v>311</v>
      </c>
      <c r="D67" s="40">
        <v>60007899611</v>
      </c>
      <c r="E67" s="42" t="s">
        <v>148</v>
      </c>
      <c r="F67" s="47">
        <v>596</v>
      </c>
      <c r="G67" s="47">
        <v>0</v>
      </c>
      <c r="H67" s="75">
        <v>0</v>
      </c>
      <c r="I67" s="51">
        <f t="shared" si="1"/>
        <v>596</v>
      </c>
    </row>
    <row r="68" spans="1:12" s="29" customFormat="1" ht="21" customHeight="1">
      <c r="A68" s="60"/>
      <c r="B68" s="26" t="s">
        <v>149</v>
      </c>
      <c r="C68" s="93"/>
      <c r="D68" s="12">
        <v>60008073286</v>
      </c>
      <c r="E68" s="30" t="s">
        <v>150</v>
      </c>
      <c r="F68" s="46">
        <f>90/2</f>
        <v>45</v>
      </c>
      <c r="G68" s="46">
        <v>0</v>
      </c>
      <c r="H68" s="74">
        <v>0</v>
      </c>
      <c r="I68" s="51">
        <f t="shared" si="1"/>
        <v>45</v>
      </c>
      <c r="J68" s="19"/>
      <c r="K68" s="19"/>
      <c r="L68" s="19"/>
    </row>
    <row r="69" spans="1:12" s="20" customFormat="1" ht="21" customHeight="1">
      <c r="A69" s="60"/>
      <c r="B69" s="26" t="s">
        <v>151</v>
      </c>
      <c r="C69" s="26"/>
      <c r="D69" s="12">
        <v>60008101006</v>
      </c>
      <c r="E69" s="30" t="s">
        <v>152</v>
      </c>
      <c r="F69" s="46">
        <v>6</v>
      </c>
      <c r="G69" s="46">
        <v>0</v>
      </c>
      <c r="H69" s="74">
        <v>0</v>
      </c>
      <c r="I69" s="51">
        <f t="shared" si="1"/>
        <v>6</v>
      </c>
      <c r="J69" s="19"/>
      <c r="K69" s="19"/>
      <c r="L69" s="19"/>
    </row>
    <row r="70" spans="1:12" s="20" customFormat="1" ht="21" customHeight="1">
      <c r="A70" s="60"/>
      <c r="B70" s="26" t="s">
        <v>153</v>
      </c>
      <c r="C70" s="26" t="s">
        <v>359</v>
      </c>
      <c r="D70" s="12">
        <v>60008115357</v>
      </c>
      <c r="E70" s="30" t="s">
        <v>154</v>
      </c>
      <c r="F70" s="46">
        <v>253</v>
      </c>
      <c r="G70" s="46">
        <v>0</v>
      </c>
      <c r="H70" s="74">
        <v>0</v>
      </c>
      <c r="I70" s="51">
        <f t="shared" si="1"/>
        <v>253</v>
      </c>
      <c r="J70" s="19"/>
      <c r="K70" s="19"/>
      <c r="L70" s="19"/>
    </row>
    <row r="71" spans="1:12" s="20" customFormat="1" ht="21" customHeight="1">
      <c r="A71" s="60"/>
      <c r="B71" s="26" t="s">
        <v>155</v>
      </c>
      <c r="C71" s="26" t="s">
        <v>312</v>
      </c>
      <c r="D71" s="12">
        <v>60008450632</v>
      </c>
      <c r="E71" s="30" t="s">
        <v>156</v>
      </c>
      <c r="F71" s="46">
        <v>77</v>
      </c>
      <c r="G71" s="46">
        <v>0</v>
      </c>
      <c r="H71" s="74">
        <v>0</v>
      </c>
      <c r="I71" s="51">
        <f t="shared" si="1"/>
        <v>77</v>
      </c>
      <c r="J71" s="19"/>
      <c r="K71" s="19"/>
      <c r="L71" s="19"/>
    </row>
    <row r="72" spans="1:9" ht="21" customHeight="1">
      <c r="A72" s="60"/>
      <c r="B72" s="26" t="s">
        <v>157</v>
      </c>
      <c r="C72" s="26" t="s">
        <v>360</v>
      </c>
      <c r="D72" s="12">
        <v>60008427213</v>
      </c>
      <c r="E72" s="30" t="s">
        <v>158</v>
      </c>
      <c r="F72" s="46">
        <f>125/2</f>
        <v>62.5</v>
      </c>
      <c r="G72" s="46">
        <v>0</v>
      </c>
      <c r="H72" s="74">
        <v>0</v>
      </c>
      <c r="I72" s="51">
        <f t="shared" si="1"/>
        <v>62.5</v>
      </c>
    </row>
    <row r="73" spans="1:9" ht="21" customHeight="1">
      <c r="A73" s="60"/>
      <c r="B73" s="26" t="s">
        <v>159</v>
      </c>
      <c r="C73" s="26" t="s">
        <v>361</v>
      </c>
      <c r="D73" s="12">
        <v>60008475541</v>
      </c>
      <c r="E73" s="30" t="s">
        <v>160</v>
      </c>
      <c r="F73" s="46">
        <v>0</v>
      </c>
      <c r="G73" s="46">
        <v>0</v>
      </c>
      <c r="H73" s="74">
        <v>0</v>
      </c>
      <c r="I73" s="51">
        <f t="shared" si="1"/>
        <v>0</v>
      </c>
    </row>
    <row r="74" spans="1:9" ht="21" customHeight="1">
      <c r="A74" s="60"/>
      <c r="B74" s="26" t="s">
        <v>161</v>
      </c>
      <c r="C74" s="93"/>
      <c r="D74" s="12">
        <v>60008368817</v>
      </c>
      <c r="E74" s="30" t="s">
        <v>162</v>
      </c>
      <c r="F74" s="46">
        <v>114</v>
      </c>
      <c r="G74" s="46">
        <v>0</v>
      </c>
      <c r="H74" s="74">
        <v>0</v>
      </c>
      <c r="I74" s="51">
        <f t="shared" si="1"/>
        <v>114</v>
      </c>
    </row>
    <row r="75" spans="1:9" ht="21" customHeight="1">
      <c r="A75" s="60"/>
      <c r="B75" s="26" t="s">
        <v>163</v>
      </c>
      <c r="C75" s="26" t="s">
        <v>372</v>
      </c>
      <c r="D75" s="12">
        <v>60091069643</v>
      </c>
      <c r="E75" s="30" t="s">
        <v>164</v>
      </c>
      <c r="F75" s="79"/>
      <c r="G75" s="79"/>
      <c r="H75" s="80"/>
      <c r="I75" s="81">
        <f t="shared" si="1"/>
        <v>0</v>
      </c>
    </row>
    <row r="76" spans="1:9" ht="21" customHeight="1">
      <c r="A76" s="60"/>
      <c r="B76" s="26" t="s">
        <v>165</v>
      </c>
      <c r="C76" s="26" t="s">
        <v>363</v>
      </c>
      <c r="D76" s="12">
        <v>60089709450</v>
      </c>
      <c r="E76" s="30" t="s">
        <v>166</v>
      </c>
      <c r="F76" s="46">
        <v>130</v>
      </c>
      <c r="G76" s="46">
        <v>0</v>
      </c>
      <c r="H76" s="74">
        <v>0</v>
      </c>
      <c r="I76" s="51">
        <f t="shared" si="1"/>
        <v>130</v>
      </c>
    </row>
    <row r="77" spans="1:9" ht="21" customHeight="1">
      <c r="A77" s="60"/>
      <c r="B77" s="26" t="s">
        <v>167</v>
      </c>
      <c r="C77" s="26" t="s">
        <v>362</v>
      </c>
      <c r="D77" s="12">
        <v>60089553056</v>
      </c>
      <c r="E77" s="30" t="s">
        <v>168</v>
      </c>
      <c r="F77" s="46">
        <f>1404+957</f>
        <v>2361</v>
      </c>
      <c r="G77" s="46">
        <v>0</v>
      </c>
      <c r="H77" s="74">
        <v>0</v>
      </c>
      <c r="I77" s="51">
        <f t="shared" si="1"/>
        <v>2361</v>
      </c>
    </row>
    <row r="78" spans="1:9" ht="21" customHeight="1">
      <c r="A78" s="60"/>
      <c r="B78" s="26" t="s">
        <v>169</v>
      </c>
      <c r="C78" s="26" t="s">
        <v>364</v>
      </c>
      <c r="D78" s="17">
        <v>60090692774</v>
      </c>
      <c r="E78" s="31" t="s">
        <v>170</v>
      </c>
      <c r="F78" s="46">
        <v>7</v>
      </c>
      <c r="G78" s="46">
        <v>0</v>
      </c>
      <c r="H78" s="74">
        <v>0</v>
      </c>
      <c r="I78" s="51">
        <f t="shared" si="1"/>
        <v>7</v>
      </c>
    </row>
    <row r="79" spans="1:9" ht="21" customHeight="1">
      <c r="A79" s="60"/>
      <c r="B79" s="26" t="s">
        <v>171</v>
      </c>
      <c r="C79" s="93"/>
      <c r="D79" s="12">
        <v>60006579681</v>
      </c>
      <c r="E79" s="30" t="s">
        <v>172</v>
      </c>
      <c r="F79" s="46">
        <v>79</v>
      </c>
      <c r="G79" s="46">
        <v>0</v>
      </c>
      <c r="H79" s="74">
        <v>0</v>
      </c>
      <c r="I79" s="51">
        <f t="shared" si="1"/>
        <v>79</v>
      </c>
    </row>
    <row r="80" spans="1:9" ht="21" customHeight="1">
      <c r="A80" s="60"/>
      <c r="B80" s="26" t="s">
        <v>173</v>
      </c>
      <c r="C80" s="26" t="s">
        <v>333</v>
      </c>
      <c r="D80" s="12">
        <v>60006586696</v>
      </c>
      <c r="E80" s="30" t="s">
        <v>174</v>
      </c>
      <c r="F80" s="46">
        <f>2136/2</f>
        <v>1068</v>
      </c>
      <c r="G80" s="46">
        <v>0</v>
      </c>
      <c r="H80" s="74">
        <v>0</v>
      </c>
      <c r="I80" s="51">
        <f t="shared" si="1"/>
        <v>1068</v>
      </c>
    </row>
    <row r="81" spans="1:12" s="20" customFormat="1" ht="21" customHeight="1">
      <c r="A81" s="60"/>
      <c r="B81" s="26" t="s">
        <v>175</v>
      </c>
      <c r="C81" s="93"/>
      <c r="D81" s="17">
        <v>60006586704</v>
      </c>
      <c r="E81" s="31" t="s">
        <v>176</v>
      </c>
      <c r="F81" s="46">
        <f>149/2</f>
        <v>74.5</v>
      </c>
      <c r="G81" s="46">
        <v>0</v>
      </c>
      <c r="H81" s="74">
        <v>0</v>
      </c>
      <c r="I81" s="51">
        <f t="shared" si="1"/>
        <v>74.5</v>
      </c>
      <c r="J81" s="19"/>
      <c r="K81" s="19"/>
      <c r="L81" s="19"/>
    </row>
    <row r="82" spans="1:12" s="20" customFormat="1" ht="21" customHeight="1">
      <c r="A82" s="60"/>
      <c r="B82" s="26" t="s">
        <v>177</v>
      </c>
      <c r="C82" s="26" t="s">
        <v>370</v>
      </c>
      <c r="D82" s="12">
        <v>60006587652</v>
      </c>
      <c r="E82" s="33" t="s">
        <v>178</v>
      </c>
      <c r="F82" s="47">
        <v>0</v>
      </c>
      <c r="G82" s="47">
        <v>0</v>
      </c>
      <c r="H82" s="75">
        <v>0</v>
      </c>
      <c r="I82" s="51">
        <f t="shared" si="1"/>
        <v>0</v>
      </c>
      <c r="J82" s="19"/>
      <c r="K82" s="19"/>
      <c r="L82" s="19"/>
    </row>
    <row r="83" spans="1:12" ht="21" customHeight="1">
      <c r="A83" s="60"/>
      <c r="B83" s="26" t="s">
        <v>179</v>
      </c>
      <c r="C83" s="26" t="s">
        <v>334</v>
      </c>
      <c r="D83" s="12">
        <v>60006587671</v>
      </c>
      <c r="E83" s="30" t="s">
        <v>180</v>
      </c>
      <c r="F83" s="49">
        <f>444/2</f>
        <v>222</v>
      </c>
      <c r="G83" s="49">
        <v>0</v>
      </c>
      <c r="H83" s="76">
        <v>0</v>
      </c>
      <c r="I83" s="51">
        <f t="shared" si="1"/>
        <v>222</v>
      </c>
      <c r="J83" s="19"/>
      <c r="K83" s="19"/>
      <c r="L83" s="19"/>
    </row>
    <row r="84" spans="1:12" ht="21" customHeight="1">
      <c r="A84" s="60"/>
      <c r="B84" s="26" t="s">
        <v>181</v>
      </c>
      <c r="C84" s="26" t="s">
        <v>335</v>
      </c>
      <c r="D84" s="12">
        <v>60006593566</v>
      </c>
      <c r="E84" s="30" t="s">
        <v>182</v>
      </c>
      <c r="F84" s="46">
        <f>676/2</f>
        <v>338</v>
      </c>
      <c r="G84" s="46">
        <v>0</v>
      </c>
      <c r="H84" s="74">
        <v>0</v>
      </c>
      <c r="I84" s="51">
        <f t="shared" si="1"/>
        <v>338</v>
      </c>
      <c r="J84" s="19"/>
      <c r="K84" s="19"/>
      <c r="L84" s="19"/>
    </row>
    <row r="85" spans="1:12" ht="21" customHeight="1">
      <c r="A85" s="60"/>
      <c r="B85" s="26" t="s">
        <v>183</v>
      </c>
      <c r="C85" s="26" t="s">
        <v>336</v>
      </c>
      <c r="D85" s="12">
        <v>60006601563</v>
      </c>
      <c r="E85" s="30" t="s">
        <v>184</v>
      </c>
      <c r="F85" s="46">
        <v>536.093333333333</v>
      </c>
      <c r="G85" s="46">
        <v>0</v>
      </c>
      <c r="H85" s="74">
        <v>0</v>
      </c>
      <c r="I85" s="51">
        <f t="shared" si="1"/>
        <v>536.093333333333</v>
      </c>
      <c r="J85" s="19"/>
      <c r="K85" s="19"/>
      <c r="L85" s="19"/>
    </row>
    <row r="86" spans="1:12" s="20" customFormat="1" ht="21" customHeight="1">
      <c r="A86" s="60"/>
      <c r="B86" s="26" t="s">
        <v>185</v>
      </c>
      <c r="C86" s="26" t="s">
        <v>310</v>
      </c>
      <c r="D86" s="12">
        <v>60006630551</v>
      </c>
      <c r="E86" s="30" t="s">
        <v>186</v>
      </c>
      <c r="F86" s="46">
        <f>1110/2</f>
        <v>555</v>
      </c>
      <c r="G86" s="46">
        <v>0</v>
      </c>
      <c r="H86" s="74">
        <v>0</v>
      </c>
      <c r="I86" s="51">
        <f t="shared" si="1"/>
        <v>555</v>
      </c>
      <c r="J86" s="19"/>
      <c r="K86" s="19"/>
      <c r="L86" s="19"/>
    </row>
    <row r="87" spans="1:12" s="29" customFormat="1" ht="21" customHeight="1">
      <c r="A87" s="60"/>
      <c r="B87" s="26" t="s">
        <v>187</v>
      </c>
      <c r="C87" s="26" t="s">
        <v>287</v>
      </c>
      <c r="D87" s="12">
        <v>60006631759</v>
      </c>
      <c r="E87" s="30" t="s">
        <v>188</v>
      </c>
      <c r="F87" s="46">
        <f>524/2</f>
        <v>262</v>
      </c>
      <c r="G87" s="46">
        <v>0</v>
      </c>
      <c r="H87" s="74">
        <v>0</v>
      </c>
      <c r="I87" s="51">
        <f t="shared" si="1"/>
        <v>262</v>
      </c>
      <c r="J87" s="19"/>
      <c r="K87" s="19"/>
      <c r="L87" s="19"/>
    </row>
    <row r="88" spans="1:12" s="29" customFormat="1" ht="21" customHeight="1">
      <c r="A88" s="60"/>
      <c r="B88" s="26" t="s">
        <v>189</v>
      </c>
      <c r="C88" s="26" t="s">
        <v>339</v>
      </c>
      <c r="D88" s="12">
        <v>60006631974</v>
      </c>
      <c r="E88" s="30" t="s">
        <v>190</v>
      </c>
      <c r="F88" s="46">
        <v>1170</v>
      </c>
      <c r="G88" s="46">
        <v>0</v>
      </c>
      <c r="H88" s="74">
        <v>0</v>
      </c>
      <c r="I88" s="51">
        <f t="shared" si="1"/>
        <v>1170</v>
      </c>
      <c r="J88" s="19"/>
      <c r="K88" s="19"/>
      <c r="L88" s="19"/>
    </row>
    <row r="89" spans="1:9" ht="21" customHeight="1">
      <c r="A89" s="60"/>
      <c r="B89" s="26" t="s">
        <v>191</v>
      </c>
      <c r="C89" s="26" t="s">
        <v>356</v>
      </c>
      <c r="D89" s="12">
        <v>60007843337</v>
      </c>
      <c r="E89" s="30" t="s">
        <v>192</v>
      </c>
      <c r="F89" s="46">
        <f>949/2</f>
        <v>474.5</v>
      </c>
      <c r="G89" s="46">
        <v>0</v>
      </c>
      <c r="H89" s="74">
        <v>0</v>
      </c>
      <c r="I89" s="51">
        <f t="shared" si="1"/>
        <v>474.5</v>
      </c>
    </row>
    <row r="90" spans="1:9" ht="21" customHeight="1">
      <c r="A90" s="60"/>
      <c r="B90" s="26" t="s">
        <v>193</v>
      </c>
      <c r="C90" s="26" t="s">
        <v>305</v>
      </c>
      <c r="D90" s="12">
        <v>60006631992</v>
      </c>
      <c r="E90" s="30" t="s">
        <v>194</v>
      </c>
      <c r="F90" s="46">
        <v>1753</v>
      </c>
      <c r="G90" s="46">
        <v>0</v>
      </c>
      <c r="H90" s="74">
        <v>0</v>
      </c>
      <c r="I90" s="51">
        <f t="shared" si="1"/>
        <v>1753</v>
      </c>
    </row>
    <row r="91" spans="1:9" ht="21" customHeight="1">
      <c r="A91" s="60"/>
      <c r="B91" s="26" t="s">
        <v>195</v>
      </c>
      <c r="C91" s="26" t="s">
        <v>341</v>
      </c>
      <c r="D91" s="12">
        <v>60006632013</v>
      </c>
      <c r="E91" s="30" t="s">
        <v>196</v>
      </c>
      <c r="F91" s="46">
        <v>167</v>
      </c>
      <c r="G91" s="46">
        <v>0</v>
      </c>
      <c r="H91" s="74">
        <v>0</v>
      </c>
      <c r="I91" s="51">
        <f t="shared" si="1"/>
        <v>167</v>
      </c>
    </row>
    <row r="92" spans="1:9" ht="21" customHeight="1">
      <c r="A92" s="60"/>
      <c r="B92" s="26" t="s">
        <v>197</v>
      </c>
      <c r="C92" s="26" t="s">
        <v>288</v>
      </c>
      <c r="D92" s="12">
        <v>60006632028</v>
      </c>
      <c r="E92" s="30" t="s">
        <v>198</v>
      </c>
      <c r="F92" s="46">
        <v>2430</v>
      </c>
      <c r="G92" s="46">
        <v>0</v>
      </c>
      <c r="H92" s="74">
        <v>0</v>
      </c>
      <c r="I92" s="51">
        <f t="shared" si="1"/>
        <v>2430</v>
      </c>
    </row>
    <row r="93" spans="1:9" ht="21" customHeight="1">
      <c r="A93" s="60"/>
      <c r="B93" s="26" t="s">
        <v>199</v>
      </c>
      <c r="C93" s="26" t="s">
        <v>342</v>
      </c>
      <c r="D93" s="12">
        <v>60006632034</v>
      </c>
      <c r="E93" s="30" t="s">
        <v>200</v>
      </c>
      <c r="F93" s="46">
        <v>161</v>
      </c>
      <c r="G93" s="46">
        <v>0</v>
      </c>
      <c r="H93" s="74">
        <v>0</v>
      </c>
      <c r="I93" s="51">
        <f t="shared" si="1"/>
        <v>161</v>
      </c>
    </row>
    <row r="94" spans="1:9" ht="21" customHeight="1">
      <c r="A94" s="60"/>
      <c r="B94" s="26" t="s">
        <v>201</v>
      </c>
      <c r="C94" s="26" t="s">
        <v>343</v>
      </c>
      <c r="D94" s="12">
        <v>60006637176</v>
      </c>
      <c r="E94" s="30" t="s">
        <v>202</v>
      </c>
      <c r="F94" s="46">
        <f>208/2</f>
        <v>104</v>
      </c>
      <c r="G94" s="46">
        <v>0</v>
      </c>
      <c r="H94" s="74">
        <v>0</v>
      </c>
      <c r="I94" s="51">
        <f t="shared" si="1"/>
        <v>104</v>
      </c>
    </row>
    <row r="95" spans="1:9" ht="21" customHeight="1">
      <c r="A95" s="60"/>
      <c r="B95" s="26" t="s">
        <v>203</v>
      </c>
      <c r="C95" s="93"/>
      <c r="D95" s="12">
        <v>60006637235</v>
      </c>
      <c r="E95" s="30" t="s">
        <v>204</v>
      </c>
      <c r="F95" s="46">
        <f>151/2</f>
        <v>75.5</v>
      </c>
      <c r="G95" s="46">
        <v>0</v>
      </c>
      <c r="H95" s="74">
        <v>0</v>
      </c>
      <c r="I95" s="51">
        <f t="shared" si="1"/>
        <v>75.5</v>
      </c>
    </row>
    <row r="96" spans="1:9" ht="21" customHeight="1">
      <c r="A96" s="60"/>
      <c r="B96" s="26" t="s">
        <v>205</v>
      </c>
      <c r="C96" s="26" t="s">
        <v>306</v>
      </c>
      <c r="D96" s="12">
        <v>60006637714</v>
      </c>
      <c r="E96" s="30" t="s">
        <v>206</v>
      </c>
      <c r="F96" s="46">
        <f>238/2</f>
        <v>119</v>
      </c>
      <c r="G96" s="46">
        <v>0</v>
      </c>
      <c r="H96" s="74">
        <v>0</v>
      </c>
      <c r="I96" s="51">
        <f t="shared" si="1"/>
        <v>119</v>
      </c>
    </row>
    <row r="97" spans="1:9" ht="21" customHeight="1">
      <c r="A97" s="60"/>
      <c r="B97" s="26" t="s">
        <v>207</v>
      </c>
      <c r="C97" s="93"/>
      <c r="D97" s="12">
        <v>60006642108</v>
      </c>
      <c r="E97" s="30" t="s">
        <v>208</v>
      </c>
      <c r="F97" s="46">
        <f>151/2</f>
        <v>75.5</v>
      </c>
      <c r="G97" s="46">
        <v>0</v>
      </c>
      <c r="H97" s="74">
        <v>0</v>
      </c>
      <c r="I97" s="51">
        <f t="shared" si="1"/>
        <v>75.5</v>
      </c>
    </row>
    <row r="98" spans="1:9" ht="21" customHeight="1">
      <c r="A98" s="60"/>
      <c r="B98" s="26" t="s">
        <v>209</v>
      </c>
      <c r="C98" s="93"/>
      <c r="D98" s="12">
        <v>60006642114</v>
      </c>
      <c r="E98" s="30" t="s">
        <v>210</v>
      </c>
      <c r="F98" s="46">
        <f>151/2</f>
        <v>75.5</v>
      </c>
      <c r="G98" s="46">
        <v>0</v>
      </c>
      <c r="H98" s="74">
        <v>0</v>
      </c>
      <c r="I98" s="51">
        <f t="shared" si="1"/>
        <v>75.5</v>
      </c>
    </row>
    <row r="99" spans="1:9" ht="21" customHeight="1">
      <c r="A99" s="60"/>
      <c r="B99" s="26" t="s">
        <v>211</v>
      </c>
      <c r="C99" s="26" t="s">
        <v>290</v>
      </c>
      <c r="D99" s="12">
        <v>60006644426</v>
      </c>
      <c r="E99" s="30" t="s">
        <v>212</v>
      </c>
      <c r="F99" s="46">
        <v>417</v>
      </c>
      <c r="G99" s="46">
        <v>0</v>
      </c>
      <c r="H99" s="74">
        <v>0</v>
      </c>
      <c r="I99" s="51">
        <f t="shared" si="1"/>
        <v>417</v>
      </c>
    </row>
    <row r="100" spans="1:9" ht="21" customHeight="1">
      <c r="A100" s="60"/>
      <c r="B100" s="26" t="s">
        <v>213</v>
      </c>
      <c r="C100" s="93"/>
      <c r="D100" s="12">
        <v>60006644431</v>
      </c>
      <c r="E100" s="30" t="s">
        <v>214</v>
      </c>
      <c r="F100" s="46">
        <v>421</v>
      </c>
      <c r="G100" s="46">
        <v>0</v>
      </c>
      <c r="H100" s="74">
        <v>0</v>
      </c>
      <c r="I100" s="51">
        <f t="shared" si="1"/>
        <v>421</v>
      </c>
    </row>
    <row r="101" spans="1:9" ht="21" customHeight="1">
      <c r="A101" s="60"/>
      <c r="B101" s="26" t="s">
        <v>215</v>
      </c>
      <c r="C101" s="26" t="s">
        <v>344</v>
      </c>
      <c r="D101" s="12">
        <v>60006644654</v>
      </c>
      <c r="E101" s="30" t="s">
        <v>216</v>
      </c>
      <c r="F101" s="47">
        <f>175/2</f>
        <v>87.5</v>
      </c>
      <c r="G101" s="47">
        <v>0</v>
      </c>
      <c r="H101" s="75">
        <v>0</v>
      </c>
      <c r="I101" s="92">
        <f t="shared" si="1"/>
        <v>87.5</v>
      </c>
    </row>
    <row r="102" spans="1:9" ht="21" customHeight="1">
      <c r="A102" s="60"/>
      <c r="B102" s="26" t="s">
        <v>217</v>
      </c>
      <c r="C102" s="93"/>
      <c r="D102" s="12">
        <v>60007182237</v>
      </c>
      <c r="E102" s="30" t="s">
        <v>218</v>
      </c>
      <c r="F102" s="46">
        <f>4/2+9/2</f>
        <v>6.5</v>
      </c>
      <c r="G102" s="46">
        <v>0</v>
      </c>
      <c r="H102" s="74">
        <v>0</v>
      </c>
      <c r="I102" s="51">
        <f t="shared" si="1"/>
        <v>6.5</v>
      </c>
    </row>
    <row r="103" spans="1:9" ht="21" customHeight="1">
      <c r="A103" s="60"/>
      <c r="B103" s="26" t="s">
        <v>219</v>
      </c>
      <c r="C103" s="26" t="s">
        <v>354</v>
      </c>
      <c r="D103" s="12">
        <v>60007843211</v>
      </c>
      <c r="E103" s="30" t="s">
        <v>220</v>
      </c>
      <c r="F103" s="46">
        <v>146</v>
      </c>
      <c r="G103" s="46">
        <v>0</v>
      </c>
      <c r="H103" s="74">
        <v>0</v>
      </c>
      <c r="I103" s="51">
        <f t="shared" si="1"/>
        <v>146</v>
      </c>
    </row>
    <row r="104" spans="1:9" ht="21" customHeight="1">
      <c r="A104" s="60"/>
      <c r="B104" s="26" t="s">
        <v>221</v>
      </c>
      <c r="C104" s="26" t="s">
        <v>355</v>
      </c>
      <c r="D104" s="12">
        <v>60007843225</v>
      </c>
      <c r="E104" s="30" t="s">
        <v>222</v>
      </c>
      <c r="F104" s="46">
        <v>0</v>
      </c>
      <c r="G104" s="46">
        <v>0</v>
      </c>
      <c r="H104" s="74">
        <v>0</v>
      </c>
      <c r="I104" s="51">
        <f t="shared" si="1"/>
        <v>0</v>
      </c>
    </row>
    <row r="105" spans="1:9" ht="21" customHeight="1">
      <c r="A105" s="60"/>
      <c r="B105" s="26" t="s">
        <v>223</v>
      </c>
      <c r="C105" s="26" t="s">
        <v>347</v>
      </c>
      <c r="D105" s="12">
        <v>60007211343</v>
      </c>
      <c r="E105" s="30" t="s">
        <v>224</v>
      </c>
      <c r="F105" s="46">
        <v>0</v>
      </c>
      <c r="G105" s="46">
        <v>0</v>
      </c>
      <c r="H105" s="74">
        <v>0</v>
      </c>
      <c r="I105" s="51">
        <f t="shared" si="1"/>
        <v>0</v>
      </c>
    </row>
    <row r="106" spans="1:9" ht="21" customHeight="1">
      <c r="A106" s="60"/>
      <c r="B106" s="26" t="s">
        <v>225</v>
      </c>
      <c r="C106" s="26" t="s">
        <v>346</v>
      </c>
      <c r="D106" s="12">
        <v>60007211339</v>
      </c>
      <c r="E106" s="30" t="s">
        <v>226</v>
      </c>
      <c r="F106" s="46">
        <f>204/2</f>
        <v>102</v>
      </c>
      <c r="G106" s="46">
        <v>0</v>
      </c>
      <c r="H106" s="74">
        <v>0</v>
      </c>
      <c r="I106" s="51">
        <f t="shared" si="1"/>
        <v>102</v>
      </c>
    </row>
    <row r="107" spans="1:9" ht="21" customHeight="1">
      <c r="A107" s="60"/>
      <c r="B107" s="26" t="s">
        <v>227</v>
      </c>
      <c r="C107" s="26" t="s">
        <v>291</v>
      </c>
      <c r="D107" s="12">
        <v>60007239731</v>
      </c>
      <c r="E107" s="30" t="s">
        <v>228</v>
      </c>
      <c r="F107" s="46">
        <f>2375/2</f>
        <v>1187.5</v>
      </c>
      <c r="G107" s="46">
        <v>0</v>
      </c>
      <c r="H107" s="74">
        <v>0</v>
      </c>
      <c r="I107" s="51">
        <f t="shared" si="1"/>
        <v>1187.5</v>
      </c>
    </row>
    <row r="108" spans="1:9" ht="21" customHeight="1">
      <c r="A108" s="60"/>
      <c r="B108" s="26" t="s">
        <v>229</v>
      </c>
      <c r="C108" s="26" t="s">
        <v>348</v>
      </c>
      <c r="D108" s="12">
        <v>60007483419</v>
      </c>
      <c r="E108" s="30" t="s">
        <v>230</v>
      </c>
      <c r="F108" s="46">
        <f>642/2</f>
        <v>321</v>
      </c>
      <c r="G108" s="46">
        <v>0</v>
      </c>
      <c r="H108" s="74">
        <v>0</v>
      </c>
      <c r="I108" s="51">
        <f t="shared" si="1"/>
        <v>321</v>
      </c>
    </row>
    <row r="109" spans="1:9" ht="21" customHeight="1">
      <c r="A109" s="60"/>
      <c r="B109" s="26" t="s">
        <v>231</v>
      </c>
      <c r="C109" s="26" t="s">
        <v>301</v>
      </c>
      <c r="D109" s="12">
        <v>60006579638</v>
      </c>
      <c r="E109" s="30" t="s">
        <v>232</v>
      </c>
      <c r="F109" s="46">
        <v>0</v>
      </c>
      <c r="G109" s="46">
        <v>0</v>
      </c>
      <c r="H109" s="74">
        <v>0</v>
      </c>
      <c r="I109" s="51">
        <f t="shared" si="1"/>
        <v>0</v>
      </c>
    </row>
    <row r="110" spans="1:9" ht="21" customHeight="1">
      <c r="A110" s="60"/>
      <c r="B110" s="26" t="s">
        <v>233</v>
      </c>
      <c r="C110" s="26" t="s">
        <v>349</v>
      </c>
      <c r="D110" s="12">
        <v>60006579657</v>
      </c>
      <c r="E110" s="30" t="s">
        <v>234</v>
      </c>
      <c r="F110" s="46">
        <v>694</v>
      </c>
      <c r="G110" s="46">
        <v>0</v>
      </c>
      <c r="H110" s="74">
        <v>0</v>
      </c>
      <c r="I110" s="51">
        <f t="shared" si="1"/>
        <v>694</v>
      </c>
    </row>
    <row r="111" spans="1:9" ht="21" customHeight="1">
      <c r="A111" s="60"/>
      <c r="B111" s="26" t="s">
        <v>235</v>
      </c>
      <c r="C111" s="93"/>
      <c r="D111" s="12">
        <v>60006579676</v>
      </c>
      <c r="E111" s="30" t="s">
        <v>236</v>
      </c>
      <c r="F111" s="46">
        <v>7</v>
      </c>
      <c r="G111" s="46">
        <v>0</v>
      </c>
      <c r="H111" s="74">
        <v>0</v>
      </c>
      <c r="I111" s="51">
        <f t="shared" si="1"/>
        <v>7</v>
      </c>
    </row>
    <row r="112" spans="1:9" ht="21" customHeight="1">
      <c r="A112" s="60"/>
      <c r="B112" s="26" t="s">
        <v>237</v>
      </c>
      <c r="C112" s="26" t="s">
        <v>351</v>
      </c>
      <c r="D112" s="12">
        <v>60007631681</v>
      </c>
      <c r="E112" s="30" t="s">
        <v>238</v>
      </c>
      <c r="F112" s="46"/>
      <c r="G112" s="46"/>
      <c r="H112" s="74"/>
      <c r="I112" s="51">
        <f t="shared" si="1"/>
        <v>0</v>
      </c>
    </row>
    <row r="113" spans="1:9" ht="21" customHeight="1">
      <c r="A113" s="60"/>
      <c r="B113" s="26" t="s">
        <v>239</v>
      </c>
      <c r="C113" s="26" t="s">
        <v>357</v>
      </c>
      <c r="D113" s="12">
        <v>60007848373</v>
      </c>
      <c r="E113" s="30" t="s">
        <v>240</v>
      </c>
      <c r="F113" s="46">
        <f>2116/2</f>
        <v>1058</v>
      </c>
      <c r="G113" s="46">
        <v>0</v>
      </c>
      <c r="H113" s="74">
        <v>0</v>
      </c>
      <c r="I113" s="51">
        <f t="shared" si="1"/>
        <v>1058</v>
      </c>
    </row>
    <row r="114" spans="1:9" ht="21" customHeight="1">
      <c r="A114" s="60"/>
      <c r="B114" s="26" t="s">
        <v>241</v>
      </c>
      <c r="C114" s="26" t="s">
        <v>338</v>
      </c>
      <c r="D114" s="12">
        <v>60006631880</v>
      </c>
      <c r="E114" s="30" t="s">
        <v>242</v>
      </c>
      <c r="F114" s="46">
        <f>-584/2</f>
        <v>-292</v>
      </c>
      <c r="G114" s="46">
        <v>0</v>
      </c>
      <c r="H114" s="74">
        <v>0</v>
      </c>
      <c r="I114" s="51">
        <f t="shared" si="1"/>
        <v>-292</v>
      </c>
    </row>
    <row r="115" spans="1:9" ht="21" customHeight="1">
      <c r="A115" s="64"/>
      <c r="B115" s="26" t="s">
        <v>243</v>
      </c>
      <c r="C115" s="26" t="s">
        <v>320</v>
      </c>
      <c r="D115" s="12">
        <v>60006631920</v>
      </c>
      <c r="E115" s="30" t="s">
        <v>244</v>
      </c>
      <c r="F115" s="49">
        <v>532</v>
      </c>
      <c r="G115" s="49">
        <v>0</v>
      </c>
      <c r="H115" s="76">
        <v>0</v>
      </c>
      <c r="I115" s="51">
        <f t="shared" si="1"/>
        <v>532</v>
      </c>
    </row>
    <row r="116" spans="1:9" ht="21" customHeight="1">
      <c r="A116" s="64"/>
      <c r="B116" s="26" t="s">
        <v>245</v>
      </c>
      <c r="C116" s="26" t="s">
        <v>340</v>
      </c>
      <c r="D116" s="12">
        <v>60006631987</v>
      </c>
      <c r="E116" s="30" t="s">
        <v>246</v>
      </c>
      <c r="F116" s="49">
        <f>3385/2</f>
        <v>1692.5</v>
      </c>
      <c r="G116" s="49">
        <v>0</v>
      </c>
      <c r="H116" s="76">
        <v>0</v>
      </c>
      <c r="I116" s="51">
        <f t="shared" si="1"/>
        <v>1692.5</v>
      </c>
    </row>
    <row r="117" spans="1:9" ht="21" customHeight="1">
      <c r="A117" s="64"/>
      <c r="B117" s="26" t="s">
        <v>247</v>
      </c>
      <c r="C117" s="26" t="s">
        <v>373</v>
      </c>
      <c r="D117" s="12">
        <v>60006632009</v>
      </c>
      <c r="E117" s="30" t="s">
        <v>248</v>
      </c>
      <c r="F117" s="49">
        <v>2516</v>
      </c>
      <c r="G117" s="49">
        <v>0</v>
      </c>
      <c r="H117" s="76">
        <v>0</v>
      </c>
      <c r="I117" s="51">
        <f t="shared" si="1"/>
        <v>2516</v>
      </c>
    </row>
    <row r="118" spans="1:9" ht="21" customHeight="1">
      <c r="A118" s="64"/>
      <c r="B118" s="26" t="s">
        <v>249</v>
      </c>
      <c r="C118" s="26" t="s">
        <v>350</v>
      </c>
      <c r="D118" s="12">
        <v>60007611240</v>
      </c>
      <c r="E118" s="30" t="s">
        <v>250</v>
      </c>
      <c r="F118" s="49">
        <v>1952</v>
      </c>
      <c r="G118" s="49">
        <v>0</v>
      </c>
      <c r="H118" s="76">
        <v>0</v>
      </c>
      <c r="I118" s="51">
        <f t="shared" si="1"/>
        <v>1952</v>
      </c>
    </row>
    <row r="119" spans="1:9" ht="21" customHeight="1">
      <c r="A119" s="64"/>
      <c r="B119" s="26" t="s">
        <v>251</v>
      </c>
      <c r="C119" s="26" t="s">
        <v>337</v>
      </c>
      <c r="D119" s="12">
        <v>60006613294</v>
      </c>
      <c r="E119" s="30" t="s">
        <v>252</v>
      </c>
      <c r="F119" s="49">
        <f>542/2</f>
        <v>271</v>
      </c>
      <c r="G119" s="49">
        <v>0</v>
      </c>
      <c r="H119" s="76">
        <v>0</v>
      </c>
      <c r="I119" s="51">
        <f t="shared" si="1"/>
        <v>271</v>
      </c>
    </row>
    <row r="120" spans="1:9" ht="21" customHeight="1">
      <c r="A120" s="64"/>
      <c r="B120" s="26" t="s">
        <v>253</v>
      </c>
      <c r="C120" s="26" t="s">
        <v>303</v>
      </c>
      <c r="D120" s="12">
        <v>60006631725</v>
      </c>
      <c r="E120" s="30" t="s">
        <v>254</v>
      </c>
      <c r="F120" s="49">
        <f>1799/2</f>
        <v>899.5</v>
      </c>
      <c r="G120" s="49">
        <v>0</v>
      </c>
      <c r="H120" s="76">
        <v>0</v>
      </c>
      <c r="I120" s="51">
        <f t="shared" si="1"/>
        <v>899.5</v>
      </c>
    </row>
    <row r="121" spans="1:9" ht="21" customHeight="1">
      <c r="A121" s="64"/>
      <c r="B121" s="26" t="s">
        <v>255</v>
      </c>
      <c r="C121" s="26" t="s">
        <v>304</v>
      </c>
      <c r="D121" s="12">
        <v>60006631818</v>
      </c>
      <c r="E121" s="30" t="s">
        <v>256</v>
      </c>
      <c r="F121" s="49">
        <f>64/2+68/2</f>
        <v>66</v>
      </c>
      <c r="G121" s="49">
        <v>0</v>
      </c>
      <c r="H121" s="76">
        <v>0</v>
      </c>
      <c r="I121" s="51">
        <f aca="true" t="shared" si="2" ref="I121:I130">F121+G121+H121</f>
        <v>66</v>
      </c>
    </row>
    <row r="122" spans="1:9" ht="21" customHeight="1">
      <c r="A122" s="64"/>
      <c r="B122" s="25" t="s">
        <v>257</v>
      </c>
      <c r="C122" s="95"/>
      <c r="D122" s="14">
        <v>60006631824</v>
      </c>
      <c r="E122" s="45" t="s">
        <v>258</v>
      </c>
      <c r="F122" s="49">
        <f>9801*0.25+7109*0.25</f>
        <v>4227.5</v>
      </c>
      <c r="G122" s="49">
        <v>0</v>
      </c>
      <c r="H122" s="76">
        <v>0</v>
      </c>
      <c r="I122" s="51">
        <f t="shared" si="2"/>
        <v>4227.5</v>
      </c>
    </row>
    <row r="123" spans="1:9" ht="21" customHeight="1">
      <c r="A123" s="64"/>
      <c r="B123" s="25" t="s">
        <v>259</v>
      </c>
      <c r="C123" s="25" t="s">
        <v>345</v>
      </c>
      <c r="D123" s="14">
        <v>60006872372</v>
      </c>
      <c r="E123" s="45" t="s">
        <v>260</v>
      </c>
      <c r="F123" s="49">
        <v>114</v>
      </c>
      <c r="G123" s="49">
        <v>0</v>
      </c>
      <c r="H123" s="76">
        <v>0</v>
      </c>
      <c r="I123" s="51">
        <f t="shared" si="2"/>
        <v>114</v>
      </c>
    </row>
    <row r="124" spans="1:9" ht="21" customHeight="1">
      <c r="A124" s="64"/>
      <c r="B124" s="25" t="s">
        <v>261</v>
      </c>
      <c r="C124" s="25" t="s">
        <v>321</v>
      </c>
      <c r="D124" s="14">
        <v>60006974384</v>
      </c>
      <c r="E124" s="45" t="s">
        <v>262</v>
      </c>
      <c r="F124" s="49">
        <f>919/2</f>
        <v>459.5</v>
      </c>
      <c r="G124" s="49">
        <v>0</v>
      </c>
      <c r="H124" s="76">
        <v>0</v>
      </c>
      <c r="I124" s="51">
        <f t="shared" si="2"/>
        <v>459.5</v>
      </c>
    </row>
    <row r="125" spans="1:9" ht="21" customHeight="1">
      <c r="A125" s="64"/>
      <c r="B125" s="25" t="s">
        <v>263</v>
      </c>
      <c r="C125" s="25" t="s">
        <v>368</v>
      </c>
      <c r="D125" s="14">
        <v>60006581324</v>
      </c>
      <c r="E125" s="45" t="s">
        <v>264</v>
      </c>
      <c r="F125" s="49">
        <v>3645</v>
      </c>
      <c r="G125" s="49">
        <v>0</v>
      </c>
      <c r="H125" s="76">
        <v>0</v>
      </c>
      <c r="I125" s="51">
        <f t="shared" si="2"/>
        <v>3645</v>
      </c>
    </row>
    <row r="126" spans="1:9" ht="21" customHeight="1">
      <c r="A126" s="64"/>
      <c r="B126" s="25" t="s">
        <v>265</v>
      </c>
      <c r="C126" s="25" t="s">
        <v>352</v>
      </c>
      <c r="D126" s="14">
        <v>60007651627</v>
      </c>
      <c r="E126" s="45" t="s">
        <v>266</v>
      </c>
      <c r="F126" s="49">
        <v>37</v>
      </c>
      <c r="G126" s="49">
        <v>0</v>
      </c>
      <c r="H126" s="76">
        <v>0</v>
      </c>
      <c r="I126" s="51">
        <f t="shared" si="2"/>
        <v>37</v>
      </c>
    </row>
    <row r="127" spans="1:9" ht="21" customHeight="1">
      <c r="A127" s="64"/>
      <c r="B127" s="25" t="s">
        <v>267</v>
      </c>
      <c r="C127" s="95"/>
      <c r="D127" s="14">
        <v>83007351147</v>
      </c>
      <c r="E127" s="45" t="s">
        <v>268</v>
      </c>
      <c r="F127" s="49">
        <v>18</v>
      </c>
      <c r="G127" s="49">
        <v>0</v>
      </c>
      <c r="H127" s="76">
        <v>0</v>
      </c>
      <c r="I127" s="51">
        <f t="shared" si="2"/>
        <v>18</v>
      </c>
    </row>
    <row r="128" spans="1:9" ht="21" customHeight="1">
      <c r="A128" s="64"/>
      <c r="B128" s="25" t="s">
        <v>269</v>
      </c>
      <c r="C128" s="25"/>
      <c r="D128" s="14">
        <v>83007705623</v>
      </c>
      <c r="E128" s="45" t="s">
        <v>270</v>
      </c>
      <c r="F128" s="49">
        <v>24</v>
      </c>
      <c r="G128" s="49">
        <v>0</v>
      </c>
      <c r="H128" s="76">
        <v>0</v>
      </c>
      <c r="I128" s="51">
        <f t="shared" si="2"/>
        <v>24</v>
      </c>
    </row>
    <row r="129" spans="1:9" ht="21" customHeight="1">
      <c r="A129" s="64"/>
      <c r="B129" s="25" t="s">
        <v>271</v>
      </c>
      <c r="C129" s="25"/>
      <c r="D129" s="14">
        <v>83007812488</v>
      </c>
      <c r="E129" s="45" t="s">
        <v>272</v>
      </c>
      <c r="F129" s="49">
        <v>286</v>
      </c>
      <c r="G129" s="49">
        <v>0</v>
      </c>
      <c r="H129" s="76">
        <v>0</v>
      </c>
      <c r="I129" s="51">
        <f t="shared" si="2"/>
        <v>286</v>
      </c>
    </row>
    <row r="130" spans="1:9" ht="21" customHeight="1">
      <c r="A130" s="64"/>
      <c r="B130" s="25" t="s">
        <v>273</v>
      </c>
      <c r="C130" s="25"/>
      <c r="D130" s="14">
        <v>83007946440</v>
      </c>
      <c r="E130" s="45" t="s">
        <v>274</v>
      </c>
      <c r="F130" s="49"/>
      <c r="G130" s="49"/>
      <c r="H130" s="76"/>
      <c r="I130" s="51">
        <f t="shared" si="2"/>
        <v>0</v>
      </c>
    </row>
    <row r="131" spans="1:9" ht="21" customHeight="1" thickBot="1">
      <c r="A131" s="65" t="s">
        <v>0</v>
      </c>
      <c r="B131" s="66"/>
      <c r="C131" s="66"/>
      <c r="D131" s="13"/>
      <c r="E131" s="13"/>
      <c r="F131" s="69"/>
      <c r="G131" s="69"/>
      <c r="H131" s="77"/>
      <c r="I131" s="70">
        <f>SUM(I8:I130)</f>
        <v>154747.59333333332</v>
      </c>
    </row>
    <row r="132" ht="13.5" thickTop="1"/>
  </sheetData>
  <sheetProtection/>
  <mergeCells count="3">
    <mergeCell ref="F4:I4"/>
    <mergeCell ref="G3:I3"/>
    <mergeCell ref="F2:I2"/>
  </mergeCells>
  <printOptions horizontalCentered="1"/>
  <pageMargins left="0.35433070866141736" right="0.35433070866141736" top="0.5905511811023623" bottom="0.5905511811023623" header="0" footer="0"/>
  <pageSetup fitToHeight="0" fitToWidth="1" horizontalDpi="600" verticalDpi="600" orientation="portrait" paperSize="9" scale="3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I131"/>
  <sheetViews>
    <sheetView tabSelected="1" zoomScalePageLayoutView="0" workbookViewId="0" topLeftCell="D128">
      <selection activeCell="B56" sqref="A54:IV56"/>
    </sheetView>
  </sheetViews>
  <sheetFormatPr defaultColWidth="11.421875" defaultRowHeight="12.75"/>
  <cols>
    <col min="2" max="2" width="89.28125" style="0" customWidth="1"/>
    <col min="3" max="3" width="106.57421875" style="0" customWidth="1"/>
    <col min="4" max="4" width="20.8515625" style="0" customWidth="1"/>
    <col min="5" max="5" width="34.00390625" style="0" hidden="1" customWidth="1"/>
    <col min="6" max="6" width="15.28125" style="0" customWidth="1"/>
    <col min="7" max="7" width="14.421875" style="0" customWidth="1"/>
    <col min="8" max="8" width="17.7109375" style="0" customWidth="1"/>
    <col min="9" max="9" width="21.421875" style="0" customWidth="1"/>
  </cols>
  <sheetData>
    <row r="1" spans="1:9" ht="12.75">
      <c r="A1" s="1"/>
      <c r="B1" s="21"/>
      <c r="C1" s="21"/>
      <c r="D1" s="1"/>
      <c r="E1" s="1"/>
      <c r="F1" s="2"/>
      <c r="G1" s="2"/>
      <c r="H1" s="2"/>
      <c r="I1" s="2"/>
    </row>
    <row r="2" spans="1:9" ht="48.75" customHeight="1">
      <c r="A2" s="1"/>
      <c r="B2" s="21"/>
      <c r="C2" s="21"/>
      <c r="D2" s="1"/>
      <c r="E2" s="1"/>
      <c r="F2" s="2"/>
      <c r="G2" s="96" t="s">
        <v>9</v>
      </c>
      <c r="H2" s="96"/>
      <c r="I2" s="96"/>
    </row>
    <row r="3" spans="1:9" ht="18">
      <c r="A3" s="1"/>
      <c r="B3" s="21"/>
      <c r="C3" s="21"/>
      <c r="D3" s="1"/>
      <c r="E3" s="1"/>
      <c r="F3" s="2"/>
      <c r="G3" s="2"/>
      <c r="H3" s="97"/>
      <c r="I3" s="97"/>
    </row>
    <row r="4" spans="1:9" ht="24.75" customHeight="1">
      <c r="A4" s="1"/>
      <c r="B4" s="21"/>
      <c r="C4" s="21"/>
      <c r="D4" s="1"/>
      <c r="E4" s="1"/>
      <c r="F4" s="2"/>
      <c r="G4" s="98" t="s">
        <v>283</v>
      </c>
      <c r="H4" s="98"/>
      <c r="I4" s="98"/>
    </row>
    <row r="5" spans="1:9" ht="12.75">
      <c r="A5" s="1"/>
      <c r="B5" s="21"/>
      <c r="C5" s="21"/>
      <c r="D5" s="1"/>
      <c r="E5" s="1"/>
      <c r="F5" s="2"/>
      <c r="G5" s="2"/>
      <c r="H5" s="2"/>
      <c r="I5" s="2"/>
    </row>
    <row r="6" spans="1:9" ht="13.5" customHeight="1" thickBot="1">
      <c r="A6" s="3"/>
      <c r="B6" s="22"/>
      <c r="C6" s="22"/>
      <c r="D6" s="3"/>
      <c r="E6" s="3"/>
      <c r="F6" s="4"/>
      <c r="G6" s="4"/>
      <c r="H6" s="4"/>
      <c r="I6" s="2"/>
    </row>
    <row r="7" spans="1:9" ht="21" customHeight="1" thickTop="1">
      <c r="A7" s="5" t="s">
        <v>1</v>
      </c>
      <c r="B7" s="23" t="s">
        <v>3</v>
      </c>
      <c r="C7" s="23" t="s">
        <v>285</v>
      </c>
      <c r="D7" s="11" t="s">
        <v>2</v>
      </c>
      <c r="E7" s="11" t="s">
        <v>11</v>
      </c>
      <c r="F7" s="6" t="s">
        <v>6</v>
      </c>
      <c r="G7" s="6" t="s">
        <v>7</v>
      </c>
      <c r="H7" s="6" t="s">
        <v>8</v>
      </c>
      <c r="I7" s="7" t="s">
        <v>0</v>
      </c>
    </row>
    <row r="8" spans="1:9" ht="21" customHeight="1">
      <c r="A8" s="27"/>
      <c r="B8" s="72" t="s">
        <v>15</v>
      </c>
      <c r="C8" s="72" t="s">
        <v>316</v>
      </c>
      <c r="D8" s="12">
        <v>83006884161</v>
      </c>
      <c r="E8" s="30" t="s">
        <v>16</v>
      </c>
      <c r="F8" s="8">
        <v>280.72</v>
      </c>
      <c r="G8" s="8">
        <v>8.38</v>
      </c>
      <c r="H8" s="8">
        <v>0.1</v>
      </c>
      <c r="I8" s="9">
        <f aca="true" t="shared" si="0" ref="I8:I58">SUM(F8:H8)</f>
        <v>289.20000000000005</v>
      </c>
    </row>
    <row r="9" spans="1:9" ht="21" customHeight="1">
      <c r="A9" s="27"/>
      <c r="B9" s="26" t="s">
        <v>17</v>
      </c>
      <c r="C9" s="26" t="s">
        <v>314</v>
      </c>
      <c r="D9" s="12">
        <v>83001699293</v>
      </c>
      <c r="E9" s="30" t="s">
        <v>19</v>
      </c>
      <c r="F9" s="8">
        <v>255.3</v>
      </c>
      <c r="G9" s="8">
        <v>7.5</v>
      </c>
      <c r="H9" s="8">
        <v>0.38</v>
      </c>
      <c r="I9" s="9">
        <f t="shared" si="0"/>
        <v>263.18</v>
      </c>
    </row>
    <row r="10" spans="1:9" ht="21" customHeight="1">
      <c r="A10" s="27"/>
      <c r="B10" s="26" t="s">
        <v>18</v>
      </c>
      <c r="C10" s="26" t="s">
        <v>324</v>
      </c>
      <c r="D10" s="12">
        <v>83002793469</v>
      </c>
      <c r="E10" s="30" t="s">
        <v>20</v>
      </c>
      <c r="F10" s="8">
        <v>561.15</v>
      </c>
      <c r="G10" s="8">
        <v>15.71</v>
      </c>
      <c r="H10" s="8">
        <v>2.64</v>
      </c>
      <c r="I10" s="9">
        <f t="shared" si="0"/>
        <v>579.5</v>
      </c>
    </row>
    <row r="11" spans="1:9" ht="21" customHeight="1">
      <c r="A11" s="27"/>
      <c r="B11" s="26" t="s">
        <v>21</v>
      </c>
      <c r="C11" s="26" t="s">
        <v>365</v>
      </c>
      <c r="D11" s="12">
        <v>83005319585</v>
      </c>
      <c r="E11" s="30" t="s">
        <v>22</v>
      </c>
      <c r="F11" s="8">
        <v>178.47</v>
      </c>
      <c r="G11" s="8">
        <v>4.83</v>
      </c>
      <c r="H11" s="8">
        <v>1.23</v>
      </c>
      <c r="I11" s="9">
        <f t="shared" si="0"/>
        <v>184.53</v>
      </c>
    </row>
    <row r="12" spans="1:9" ht="21" customHeight="1">
      <c r="A12" s="27"/>
      <c r="B12" s="26" t="s">
        <v>23</v>
      </c>
      <c r="C12" s="26" t="s">
        <v>325</v>
      </c>
      <c r="D12" s="61">
        <v>999395654431</v>
      </c>
      <c r="E12" s="30" t="s">
        <v>24</v>
      </c>
      <c r="F12" s="8">
        <v>1009.84</v>
      </c>
      <c r="G12" s="8">
        <v>29.17</v>
      </c>
      <c r="H12" s="8">
        <v>2.64</v>
      </c>
      <c r="I12" s="9">
        <f t="shared" si="0"/>
        <v>1041.65</v>
      </c>
    </row>
    <row r="13" spans="1:9" ht="21" customHeight="1">
      <c r="A13" s="27"/>
      <c r="B13" s="26" t="s">
        <v>25</v>
      </c>
      <c r="C13" s="26" t="s">
        <v>315</v>
      </c>
      <c r="D13" s="61">
        <v>999395655454</v>
      </c>
      <c r="E13" s="30" t="s">
        <v>26</v>
      </c>
      <c r="F13" s="8">
        <v>704.68</v>
      </c>
      <c r="G13" s="8">
        <v>20.01</v>
      </c>
      <c r="H13" s="8">
        <v>2.64</v>
      </c>
      <c r="I13" s="9">
        <f t="shared" si="0"/>
        <v>727.3299999999999</v>
      </c>
    </row>
    <row r="14" spans="1:9" ht="21" customHeight="1">
      <c r="A14" s="27"/>
      <c r="B14" s="26" t="s">
        <v>27</v>
      </c>
      <c r="C14" s="26" t="s">
        <v>326</v>
      </c>
      <c r="D14" s="61">
        <v>512012286</v>
      </c>
      <c r="E14" s="30" t="s">
        <v>28</v>
      </c>
      <c r="F14" s="8">
        <v>520.31</v>
      </c>
      <c r="G14" s="8">
        <v>14.48</v>
      </c>
      <c r="H14" s="8">
        <v>2.64</v>
      </c>
      <c r="I14" s="9">
        <f t="shared" si="0"/>
        <v>537.43</v>
      </c>
    </row>
    <row r="15" spans="1:9" ht="21" customHeight="1">
      <c r="A15" s="27"/>
      <c r="B15" s="26" t="s">
        <v>29</v>
      </c>
      <c r="C15" s="26" t="s">
        <v>327</v>
      </c>
      <c r="D15" s="61">
        <v>999395659634</v>
      </c>
      <c r="E15" s="30" t="s">
        <v>30</v>
      </c>
      <c r="F15" s="8">
        <v>393.56</v>
      </c>
      <c r="G15" s="8">
        <v>11.56</v>
      </c>
      <c r="H15" s="8">
        <v>0.57</v>
      </c>
      <c r="I15" s="9">
        <f t="shared" si="0"/>
        <v>405.69</v>
      </c>
    </row>
    <row r="16" spans="1:9" ht="21" customHeight="1">
      <c r="A16" s="27"/>
      <c r="B16" s="26" t="s">
        <v>31</v>
      </c>
      <c r="C16" s="26" t="s">
        <v>317</v>
      </c>
      <c r="D16" s="61">
        <v>999395660462</v>
      </c>
      <c r="E16" s="30" t="s">
        <v>32</v>
      </c>
      <c r="F16" s="8">
        <v>1233.67</v>
      </c>
      <c r="G16" s="8">
        <v>36.48</v>
      </c>
      <c r="H16" s="8">
        <v>1.23</v>
      </c>
      <c r="I16" s="9">
        <f t="shared" si="0"/>
        <v>1271.38</v>
      </c>
    </row>
    <row r="17" spans="1:9" ht="21" customHeight="1">
      <c r="A17" s="27"/>
      <c r="B17" s="26" t="s">
        <v>33</v>
      </c>
      <c r="C17" s="26" t="s">
        <v>366</v>
      </c>
      <c r="D17" s="61">
        <v>999395662284</v>
      </c>
      <c r="E17" s="30" t="s">
        <v>34</v>
      </c>
      <c r="F17" s="8"/>
      <c r="G17" s="8"/>
      <c r="H17" s="8"/>
      <c r="I17" s="9">
        <f t="shared" si="0"/>
        <v>0</v>
      </c>
    </row>
    <row r="18" spans="1:9" ht="21" customHeight="1">
      <c r="A18" s="27"/>
      <c r="B18" s="26" t="s">
        <v>35</v>
      </c>
      <c r="C18" s="26" t="s">
        <v>292</v>
      </c>
      <c r="D18" s="61">
        <v>999395662947</v>
      </c>
      <c r="E18" s="30" t="s">
        <v>36</v>
      </c>
      <c r="F18" s="8">
        <v>429.75</v>
      </c>
      <c r="G18" s="8">
        <v>12.37</v>
      </c>
      <c r="H18" s="8">
        <v>1.23</v>
      </c>
      <c r="I18" s="9">
        <f t="shared" si="0"/>
        <v>443.35</v>
      </c>
    </row>
    <row r="19" spans="1:9" ht="21" customHeight="1">
      <c r="A19" s="27"/>
      <c r="B19" s="26" t="s">
        <v>37</v>
      </c>
      <c r="C19" s="26" t="s">
        <v>369</v>
      </c>
      <c r="D19" s="61">
        <v>999395663410</v>
      </c>
      <c r="E19" s="30" t="s">
        <v>38</v>
      </c>
      <c r="F19" s="8">
        <v>380.04</v>
      </c>
      <c r="G19" s="8">
        <v>10.86</v>
      </c>
      <c r="H19" s="8">
        <v>1.27</v>
      </c>
      <c r="I19" s="9">
        <f t="shared" si="0"/>
        <v>392.17</v>
      </c>
    </row>
    <row r="20" spans="1:9" ht="21" customHeight="1">
      <c r="A20" s="27"/>
      <c r="B20" s="26" t="s">
        <v>39</v>
      </c>
      <c r="C20" s="26" t="s">
        <v>293</v>
      </c>
      <c r="D20" s="61">
        <v>999395665004</v>
      </c>
      <c r="E20" s="30" t="s">
        <v>40</v>
      </c>
      <c r="F20" s="8">
        <v>742.19</v>
      </c>
      <c r="G20" s="8">
        <v>21.74</v>
      </c>
      <c r="H20" s="8">
        <v>1.23</v>
      </c>
      <c r="I20" s="9">
        <f t="shared" si="0"/>
        <v>765.1600000000001</v>
      </c>
    </row>
    <row r="21" spans="1:9" ht="21" customHeight="1">
      <c r="A21" s="27"/>
      <c r="B21" s="26" t="s">
        <v>41</v>
      </c>
      <c r="C21" s="26" t="s">
        <v>367</v>
      </c>
      <c r="D21" s="61">
        <v>999395665500</v>
      </c>
      <c r="E21" s="30" t="s">
        <v>42</v>
      </c>
      <c r="F21" s="8">
        <v>453.35</v>
      </c>
      <c r="G21" s="8">
        <v>13.07</v>
      </c>
      <c r="H21" s="8">
        <v>1.23</v>
      </c>
      <c r="I21" s="9">
        <f t="shared" si="0"/>
        <v>467.65000000000003</v>
      </c>
    </row>
    <row r="22" spans="1:9" ht="21" customHeight="1">
      <c r="A22" s="27"/>
      <c r="B22" s="26" t="s">
        <v>43</v>
      </c>
      <c r="C22" s="93"/>
      <c r="D22" s="61">
        <v>999395674678</v>
      </c>
      <c r="E22" s="30" t="s">
        <v>44</v>
      </c>
      <c r="F22" s="8">
        <v>146.42</v>
      </c>
      <c r="G22" s="8">
        <v>3.94</v>
      </c>
      <c r="H22" s="8">
        <v>1.05</v>
      </c>
      <c r="I22" s="9">
        <f t="shared" si="0"/>
        <v>151.41</v>
      </c>
    </row>
    <row r="23" spans="1:9" ht="21" customHeight="1">
      <c r="A23" s="27"/>
      <c r="B23" s="26" t="s">
        <v>45</v>
      </c>
      <c r="C23" s="26" t="s">
        <v>307</v>
      </c>
      <c r="D23" s="61">
        <v>999395675751</v>
      </c>
      <c r="E23" s="30" t="s">
        <v>46</v>
      </c>
      <c r="F23" s="8">
        <v>520.78</v>
      </c>
      <c r="G23" s="8">
        <v>15.1</v>
      </c>
      <c r="H23" s="8">
        <v>1.23</v>
      </c>
      <c r="I23" s="9">
        <f t="shared" si="0"/>
        <v>537.11</v>
      </c>
    </row>
    <row r="24" spans="1:9" ht="21" customHeight="1">
      <c r="A24" s="27"/>
      <c r="B24" s="26" t="s">
        <v>47</v>
      </c>
      <c r="C24" s="26" t="s">
        <v>318</v>
      </c>
      <c r="D24" s="61">
        <v>999395676257</v>
      </c>
      <c r="E24" s="30" t="s">
        <v>48</v>
      </c>
      <c r="F24" s="8">
        <v>202.29</v>
      </c>
      <c r="G24" s="8">
        <v>5.52</v>
      </c>
      <c r="H24" s="8">
        <v>1.27</v>
      </c>
      <c r="I24" s="9">
        <f t="shared" si="0"/>
        <v>209.08</v>
      </c>
    </row>
    <row r="25" spans="1:9" ht="21" customHeight="1">
      <c r="A25" s="27"/>
      <c r="B25" s="26" t="s">
        <v>49</v>
      </c>
      <c r="C25" s="26" t="s">
        <v>328</v>
      </c>
      <c r="D25" s="61">
        <v>999395676905</v>
      </c>
      <c r="E25" s="30" t="s">
        <v>50</v>
      </c>
      <c r="F25" s="8">
        <v>179.2</v>
      </c>
      <c r="G25" s="8">
        <v>4.81</v>
      </c>
      <c r="H25" s="8">
        <v>1.32</v>
      </c>
      <c r="I25" s="9">
        <f t="shared" si="0"/>
        <v>185.32999999999998</v>
      </c>
    </row>
    <row r="26" spans="1:9" ht="21" customHeight="1">
      <c r="A26" s="27"/>
      <c r="B26" s="26" t="s">
        <v>51</v>
      </c>
      <c r="C26" s="93"/>
      <c r="D26" s="61">
        <v>999395677339</v>
      </c>
      <c r="E26" s="30" t="s">
        <v>52</v>
      </c>
      <c r="F26" s="8">
        <v>470.93</v>
      </c>
      <c r="G26" s="8">
        <v>13.6</v>
      </c>
      <c r="H26" s="8">
        <v>1.23</v>
      </c>
      <c r="I26" s="9">
        <f t="shared" si="0"/>
        <v>485.76000000000005</v>
      </c>
    </row>
    <row r="27" spans="1:9" ht="21" customHeight="1">
      <c r="A27" s="27"/>
      <c r="B27" s="26" t="s">
        <v>53</v>
      </c>
      <c r="C27" s="93"/>
      <c r="D27" s="61">
        <v>999395680029</v>
      </c>
      <c r="E27" s="30" t="s">
        <v>54</v>
      </c>
      <c r="F27" s="8">
        <v>268.81</v>
      </c>
      <c r="G27" s="8">
        <v>7.54</v>
      </c>
      <c r="H27" s="8">
        <v>1.23</v>
      </c>
      <c r="I27" s="9">
        <f t="shared" si="0"/>
        <v>277.58000000000004</v>
      </c>
    </row>
    <row r="28" spans="1:9" ht="21" customHeight="1">
      <c r="A28" s="27"/>
      <c r="B28" s="26" t="s">
        <v>55</v>
      </c>
      <c r="C28" s="26" t="s">
        <v>294</v>
      </c>
      <c r="D28" s="61">
        <v>999395682858</v>
      </c>
      <c r="E28" s="30" t="s">
        <v>56</v>
      </c>
      <c r="F28" s="8">
        <v>420.7</v>
      </c>
      <c r="G28" s="8">
        <v>12.08</v>
      </c>
      <c r="H28" s="8">
        <v>1.27</v>
      </c>
      <c r="I28" s="9">
        <f t="shared" si="0"/>
        <v>434.04999999999995</v>
      </c>
    </row>
    <row r="29" spans="1:9" ht="21" customHeight="1">
      <c r="A29" s="27"/>
      <c r="B29" s="26" t="s">
        <v>57</v>
      </c>
      <c r="C29" s="26" t="s">
        <v>295</v>
      </c>
      <c r="D29" s="12">
        <v>512095448</v>
      </c>
      <c r="E29" s="30" t="s">
        <v>58</v>
      </c>
      <c r="F29" s="8">
        <v>821.13</v>
      </c>
      <c r="G29" s="8">
        <v>24.11</v>
      </c>
      <c r="H29" s="8">
        <v>1.23</v>
      </c>
      <c r="I29" s="9">
        <f t="shared" si="0"/>
        <v>846.47</v>
      </c>
    </row>
    <row r="30" spans="1:9" ht="21" customHeight="1">
      <c r="A30" s="27"/>
      <c r="B30" s="26" t="s">
        <v>59</v>
      </c>
      <c r="C30" s="26" t="s">
        <v>296</v>
      </c>
      <c r="D30" s="61">
        <v>999395695033</v>
      </c>
      <c r="E30" s="30" t="s">
        <v>60</v>
      </c>
      <c r="F30" s="8">
        <v>321.025</v>
      </c>
      <c r="G30" s="8">
        <v>9.505</v>
      </c>
      <c r="H30" s="8">
        <v>0.295</v>
      </c>
      <c r="I30" s="9">
        <f t="shared" si="0"/>
        <v>330.825</v>
      </c>
    </row>
    <row r="31" spans="1:9" ht="21" customHeight="1">
      <c r="A31" s="27"/>
      <c r="B31" s="26" t="s">
        <v>61</v>
      </c>
      <c r="C31" s="26" t="s">
        <v>296</v>
      </c>
      <c r="D31" s="61">
        <v>999395696742</v>
      </c>
      <c r="E31" s="30" t="s">
        <v>62</v>
      </c>
      <c r="F31" s="8"/>
      <c r="G31" s="8"/>
      <c r="H31" s="8"/>
      <c r="I31" s="9">
        <f t="shared" si="0"/>
        <v>0</v>
      </c>
    </row>
    <row r="32" spans="1:9" ht="21" customHeight="1">
      <c r="A32" s="27"/>
      <c r="B32" s="26" t="s">
        <v>63</v>
      </c>
      <c r="C32" s="26" t="s">
        <v>308</v>
      </c>
      <c r="D32" s="61">
        <v>999395697615</v>
      </c>
      <c r="E32" s="30" t="s">
        <v>64</v>
      </c>
      <c r="F32" s="18">
        <f>900.29/2</f>
        <v>450.145</v>
      </c>
      <c r="G32" s="18">
        <f>26.68/2</f>
        <v>13.34</v>
      </c>
      <c r="H32" s="18">
        <f>0.77/2</f>
        <v>0.385</v>
      </c>
      <c r="I32" s="9">
        <f t="shared" si="0"/>
        <v>463.86999999999995</v>
      </c>
    </row>
    <row r="33" spans="1:9" ht="21" customHeight="1">
      <c r="A33" s="27"/>
      <c r="B33" s="26" t="s">
        <v>65</v>
      </c>
      <c r="C33" s="26" t="s">
        <v>297</v>
      </c>
      <c r="D33" s="61">
        <v>999395698321</v>
      </c>
      <c r="E33" s="30" t="s">
        <v>66</v>
      </c>
      <c r="F33" s="8"/>
      <c r="G33" s="8"/>
      <c r="H33" s="8"/>
      <c r="I33" s="9">
        <f t="shared" si="0"/>
        <v>0</v>
      </c>
    </row>
    <row r="34" spans="1:9" ht="21" customHeight="1">
      <c r="A34" s="27"/>
      <c r="B34" s="26" t="s">
        <v>67</v>
      </c>
      <c r="C34" s="26" t="s">
        <v>309</v>
      </c>
      <c r="D34" s="62">
        <v>999395698661</v>
      </c>
      <c r="E34" s="31" t="s">
        <v>68</v>
      </c>
      <c r="F34" s="18">
        <f>407.62/2</f>
        <v>203.81</v>
      </c>
      <c r="G34" s="18">
        <f>11.89/2</f>
        <v>5.945</v>
      </c>
      <c r="H34" s="18">
        <f>0.8/2</f>
        <v>0.4</v>
      </c>
      <c r="I34" s="9">
        <f t="shared" si="0"/>
        <v>210.155</v>
      </c>
    </row>
    <row r="35" spans="1:9" ht="21" customHeight="1">
      <c r="A35" s="27"/>
      <c r="B35" s="26" t="s">
        <v>69</v>
      </c>
      <c r="C35" s="26"/>
      <c r="D35" s="61">
        <v>999395699042</v>
      </c>
      <c r="E35" s="30" t="s">
        <v>70</v>
      </c>
      <c r="F35" s="8">
        <f>1066.39/2</f>
        <v>533.195</v>
      </c>
      <c r="G35" s="8">
        <f>31.65/2</f>
        <v>15.825</v>
      </c>
      <c r="H35" s="8">
        <f>0.79/2</f>
        <v>0.395</v>
      </c>
      <c r="I35" s="9">
        <f t="shared" si="0"/>
        <v>549.4150000000001</v>
      </c>
    </row>
    <row r="36" spans="1:9" ht="21" customHeight="1">
      <c r="A36" s="27"/>
      <c r="B36" s="26" t="s">
        <v>71</v>
      </c>
      <c r="C36" s="93"/>
      <c r="D36" s="61">
        <v>999395699192</v>
      </c>
      <c r="E36" s="30" t="s">
        <v>72</v>
      </c>
      <c r="F36" s="18">
        <f>535.68/2</f>
        <v>267.84</v>
      </c>
      <c r="G36" s="18">
        <f>15.75/2</f>
        <v>7.875</v>
      </c>
      <c r="H36" s="18">
        <f>0.76/2</f>
        <v>0.38</v>
      </c>
      <c r="I36" s="87">
        <f t="shared" si="0"/>
        <v>276.09499999999997</v>
      </c>
    </row>
    <row r="37" spans="1:9" ht="21" customHeight="1">
      <c r="A37" s="27"/>
      <c r="B37" s="26" t="s">
        <v>73</v>
      </c>
      <c r="C37" s="93"/>
      <c r="D37" s="61">
        <v>999395699382</v>
      </c>
      <c r="E37" s="30" t="s">
        <v>74</v>
      </c>
      <c r="F37" s="8">
        <f>597.9/2</f>
        <v>298.95</v>
      </c>
      <c r="G37" s="8">
        <f>17.6/2</f>
        <v>8.8</v>
      </c>
      <c r="H37" s="8">
        <f>0.8/2</f>
        <v>0.4</v>
      </c>
      <c r="I37" s="9">
        <f t="shared" si="0"/>
        <v>308.15</v>
      </c>
    </row>
    <row r="38" spans="1:9" ht="21" customHeight="1">
      <c r="A38" s="27"/>
      <c r="B38" s="26" t="s">
        <v>75</v>
      </c>
      <c r="C38" s="26" t="s">
        <v>298</v>
      </c>
      <c r="D38" s="61">
        <v>999395699631</v>
      </c>
      <c r="E38" s="30" t="s">
        <v>76</v>
      </c>
      <c r="F38" s="8">
        <f>163.47/2</f>
        <v>81.735</v>
      </c>
      <c r="G38" s="8">
        <f>4.56/2</f>
        <v>2.28</v>
      </c>
      <c r="H38" s="8">
        <f>0.8/2</f>
        <v>0.4</v>
      </c>
      <c r="I38" s="9">
        <f t="shared" si="0"/>
        <v>84.415</v>
      </c>
    </row>
    <row r="39" spans="1:9" ht="21" customHeight="1">
      <c r="A39" s="27"/>
      <c r="B39" s="26" t="s">
        <v>77</v>
      </c>
      <c r="C39" s="93"/>
      <c r="D39" s="61">
        <v>999395699855</v>
      </c>
      <c r="E39" s="30" t="s">
        <v>78</v>
      </c>
      <c r="F39" s="8">
        <f>311.98/2</f>
        <v>155.99</v>
      </c>
      <c r="G39" s="8">
        <f>9.04/2</f>
        <v>4.52</v>
      </c>
      <c r="H39" s="8">
        <f>0.74/2</f>
        <v>0.37</v>
      </c>
      <c r="I39" s="9">
        <f t="shared" si="0"/>
        <v>160.88000000000002</v>
      </c>
    </row>
    <row r="40" spans="1:9" ht="21" customHeight="1">
      <c r="A40" s="27"/>
      <c r="B40" s="26" t="s">
        <v>79</v>
      </c>
      <c r="C40" s="26" t="s">
        <v>299</v>
      </c>
      <c r="D40" s="61">
        <v>999395699914</v>
      </c>
      <c r="E40" s="30" t="s">
        <v>80</v>
      </c>
      <c r="F40" s="8">
        <f>636.73/2</f>
        <v>318.365</v>
      </c>
      <c r="G40" s="8">
        <f>18.78/2</f>
        <v>9.39</v>
      </c>
      <c r="H40" s="8">
        <f>0.76/2</f>
        <v>0.38</v>
      </c>
      <c r="I40" s="9">
        <f t="shared" si="0"/>
        <v>328.135</v>
      </c>
    </row>
    <row r="41" spans="1:9" ht="21" customHeight="1">
      <c r="A41" s="27"/>
      <c r="B41" s="26" t="s">
        <v>81</v>
      </c>
      <c r="C41" s="26" t="s">
        <v>329</v>
      </c>
      <c r="D41" s="61">
        <v>999395720675</v>
      </c>
      <c r="E41" s="30" t="s">
        <v>82</v>
      </c>
      <c r="F41" s="8">
        <f>1043.77/2</f>
        <v>521.885</v>
      </c>
      <c r="G41" s="8">
        <f>30.99/2</f>
        <v>15.495</v>
      </c>
      <c r="H41" s="8">
        <f>0.76/2</f>
        <v>0.38</v>
      </c>
      <c r="I41" s="9">
        <f t="shared" si="0"/>
        <v>537.76</v>
      </c>
    </row>
    <row r="42" spans="1:9" ht="21" customHeight="1">
      <c r="A42" s="27"/>
      <c r="B42" s="26" t="s">
        <v>83</v>
      </c>
      <c r="C42" s="26" t="s">
        <v>300</v>
      </c>
      <c r="D42" s="61">
        <v>999395721493</v>
      </c>
      <c r="E42" s="30" t="s">
        <v>84</v>
      </c>
      <c r="F42" s="8"/>
      <c r="G42" s="8"/>
      <c r="H42" s="8"/>
      <c r="I42" s="9">
        <f t="shared" si="0"/>
        <v>0</v>
      </c>
    </row>
    <row r="43" spans="1:9" ht="21" customHeight="1">
      <c r="A43" s="27"/>
      <c r="B43" s="26" t="s">
        <v>85</v>
      </c>
      <c r="C43" s="26"/>
      <c r="D43" s="61">
        <v>999395728957</v>
      </c>
      <c r="E43" s="30" t="s">
        <v>86</v>
      </c>
      <c r="F43" s="8">
        <f>147.83/2</f>
        <v>73.915</v>
      </c>
      <c r="G43" s="8">
        <f>4.1/2</f>
        <v>2.05</v>
      </c>
      <c r="H43" s="8">
        <f>0.77/2</f>
        <v>0.385</v>
      </c>
      <c r="I43" s="9">
        <f t="shared" si="0"/>
        <v>76.35000000000001</v>
      </c>
    </row>
    <row r="44" spans="1:9" ht="21" customHeight="1">
      <c r="A44" s="27"/>
      <c r="B44" s="26" t="s">
        <v>87</v>
      </c>
      <c r="C44" s="26" t="s">
        <v>330</v>
      </c>
      <c r="D44" s="61">
        <v>999395729357</v>
      </c>
      <c r="E44" s="30" t="s">
        <v>88</v>
      </c>
      <c r="F44" s="8">
        <f>235.44/2</f>
        <v>117.72</v>
      </c>
      <c r="G44" s="8">
        <f>6.72/2</f>
        <v>3.36</v>
      </c>
      <c r="H44" s="8">
        <f>0.81/2</f>
        <v>0.405</v>
      </c>
      <c r="I44" s="9">
        <f t="shared" si="0"/>
        <v>121.485</v>
      </c>
    </row>
    <row r="45" spans="1:9" ht="21" customHeight="1">
      <c r="A45" s="27"/>
      <c r="B45" s="26" t="s">
        <v>89</v>
      </c>
      <c r="C45" s="93"/>
      <c r="D45" s="61">
        <v>999395729815</v>
      </c>
      <c r="E45" s="30" t="s">
        <v>90</v>
      </c>
      <c r="F45" s="8">
        <f>242.91/2</f>
        <v>121.455</v>
      </c>
      <c r="G45" s="8">
        <f>6.97/2</f>
        <v>3.485</v>
      </c>
      <c r="H45" s="8">
        <f>0.74/2</f>
        <v>0.37</v>
      </c>
      <c r="I45" s="9">
        <f t="shared" si="0"/>
        <v>125.31</v>
      </c>
    </row>
    <row r="46" spans="1:9" ht="21" customHeight="1">
      <c r="A46" s="27"/>
      <c r="B46" s="26" t="s">
        <v>94</v>
      </c>
      <c r="C46" s="26" t="s">
        <v>331</v>
      </c>
      <c r="D46" s="61">
        <v>999395730546</v>
      </c>
      <c r="E46" s="30" t="s">
        <v>91</v>
      </c>
      <c r="F46" s="8">
        <f>91.27/2</f>
        <v>45.635</v>
      </c>
      <c r="G46" s="8">
        <f>2.42/2</f>
        <v>1.21</v>
      </c>
      <c r="H46" s="8">
        <f>0.74/2</f>
        <v>0.37</v>
      </c>
      <c r="I46" s="9">
        <f t="shared" si="0"/>
        <v>47.214999999999996</v>
      </c>
    </row>
    <row r="47" spans="1:9" ht="21" customHeight="1">
      <c r="A47" s="27"/>
      <c r="B47" s="26" t="s">
        <v>92</v>
      </c>
      <c r="C47" s="26" t="s">
        <v>319</v>
      </c>
      <c r="D47" s="61">
        <v>999395731005</v>
      </c>
      <c r="E47" s="32" t="s">
        <v>93</v>
      </c>
      <c r="F47" s="8">
        <f>361.04/2</f>
        <v>180.52</v>
      </c>
      <c r="G47" s="8">
        <f>10.5/2</f>
        <v>5.25</v>
      </c>
      <c r="H47" s="8">
        <f>0.77/2</f>
        <v>0.385</v>
      </c>
      <c r="I47" s="9">
        <f t="shared" si="0"/>
        <v>186.155</v>
      </c>
    </row>
    <row r="48" spans="1:9" ht="21" customHeight="1">
      <c r="A48" s="27"/>
      <c r="B48" s="26" t="s">
        <v>95</v>
      </c>
      <c r="C48" s="93"/>
      <c r="D48" s="61">
        <v>999395731797</v>
      </c>
      <c r="E48" s="30" t="s">
        <v>96</v>
      </c>
      <c r="F48" s="8">
        <f>368.55/2</f>
        <v>184.275</v>
      </c>
      <c r="G48" s="8">
        <f>10.73/2</f>
        <v>5.365</v>
      </c>
      <c r="H48" s="8">
        <f>0.76/2</f>
        <v>0.38</v>
      </c>
      <c r="I48" s="9">
        <f t="shared" si="0"/>
        <v>190.02</v>
      </c>
    </row>
    <row r="49" spans="1:9" ht="21" customHeight="1">
      <c r="A49" s="27"/>
      <c r="B49" s="26" t="s">
        <v>97</v>
      </c>
      <c r="C49" s="26"/>
      <c r="D49" s="61">
        <v>999395850272</v>
      </c>
      <c r="E49" s="30" t="s">
        <v>98</v>
      </c>
      <c r="F49" s="8">
        <v>566.48</v>
      </c>
      <c r="G49" s="8">
        <v>16.47</v>
      </c>
      <c r="H49" s="8">
        <v>1.23</v>
      </c>
      <c r="I49" s="9">
        <f t="shared" si="0"/>
        <v>584.1800000000001</v>
      </c>
    </row>
    <row r="50" spans="1:9" ht="21" customHeight="1">
      <c r="A50" s="27"/>
      <c r="B50" s="26" t="s">
        <v>99</v>
      </c>
      <c r="C50" s="93"/>
      <c r="D50" s="61">
        <v>999395869847</v>
      </c>
      <c r="E50" s="30" t="s">
        <v>100</v>
      </c>
      <c r="F50" s="8">
        <v>329.78</v>
      </c>
      <c r="G50" s="8">
        <v>9.67</v>
      </c>
      <c r="H50" s="8">
        <v>0.53</v>
      </c>
      <c r="I50" s="9">
        <f t="shared" si="0"/>
        <v>339.97999999999996</v>
      </c>
    </row>
    <row r="51" spans="1:9" ht="21" customHeight="1">
      <c r="A51" s="27"/>
      <c r="B51" s="26" t="s">
        <v>101</v>
      </c>
      <c r="C51" s="26" t="s">
        <v>371</v>
      </c>
      <c r="D51" s="12">
        <v>83007836944</v>
      </c>
      <c r="E51" s="30" t="s">
        <v>102</v>
      </c>
      <c r="F51" s="8">
        <f>221.02/2</f>
        <v>110.51</v>
      </c>
      <c r="G51" s="8">
        <f>6.31/2</f>
        <v>3.155</v>
      </c>
      <c r="H51" s="8">
        <f>0.75/2</f>
        <v>0.375</v>
      </c>
      <c r="I51" s="9">
        <f t="shared" si="0"/>
        <v>114.04</v>
      </c>
    </row>
    <row r="52" spans="1:9" ht="21" customHeight="1">
      <c r="A52" s="27"/>
      <c r="B52" s="26" t="s">
        <v>103</v>
      </c>
      <c r="C52" s="26" t="s">
        <v>286</v>
      </c>
      <c r="D52" s="61">
        <v>999418107083</v>
      </c>
      <c r="E52" s="30" t="s">
        <v>104</v>
      </c>
      <c r="F52" s="8">
        <f>753.41/2</f>
        <v>376.705</v>
      </c>
      <c r="G52" s="8">
        <f>22.29/2</f>
        <v>11.145</v>
      </c>
      <c r="H52" s="8">
        <f>0.74/2</f>
        <v>0.37</v>
      </c>
      <c r="I52" s="9">
        <f t="shared" si="0"/>
        <v>388.21999999999997</v>
      </c>
    </row>
    <row r="53" spans="1:9" ht="21" customHeight="1">
      <c r="A53" s="27"/>
      <c r="B53" s="26" t="s">
        <v>105</v>
      </c>
      <c r="C53" s="26" t="s">
        <v>332</v>
      </c>
      <c r="D53" s="61">
        <v>999418108530</v>
      </c>
      <c r="E53" s="30" t="s">
        <v>106</v>
      </c>
      <c r="F53" s="8">
        <v>193.37</v>
      </c>
      <c r="G53" s="8">
        <v>5.27</v>
      </c>
      <c r="H53" s="8">
        <v>1.23</v>
      </c>
      <c r="I53" s="9">
        <f t="shared" si="0"/>
        <v>199.87</v>
      </c>
    </row>
    <row r="54" spans="1:9" ht="21" customHeight="1">
      <c r="A54" s="27"/>
      <c r="B54" s="26" t="s">
        <v>107</v>
      </c>
      <c r="C54" s="26" t="s">
        <v>302</v>
      </c>
      <c r="D54" s="61">
        <v>999444028261</v>
      </c>
      <c r="E54" s="30" t="s">
        <v>108</v>
      </c>
      <c r="F54" s="8">
        <v>109.21</v>
      </c>
      <c r="G54" s="8">
        <v>2.75</v>
      </c>
      <c r="H54" s="8">
        <v>1.23</v>
      </c>
      <c r="I54" s="9">
        <f t="shared" si="0"/>
        <v>113.19</v>
      </c>
    </row>
    <row r="55" spans="1:9" ht="21" customHeight="1">
      <c r="A55" s="27"/>
      <c r="B55" s="26" t="s">
        <v>109</v>
      </c>
      <c r="C55" s="26" t="s">
        <v>313</v>
      </c>
      <c r="D55" s="12">
        <v>83000769293</v>
      </c>
      <c r="E55" s="30" t="s">
        <v>110</v>
      </c>
      <c r="F55" s="8">
        <v>268.01</v>
      </c>
      <c r="G55" s="8">
        <v>7.51</v>
      </c>
      <c r="H55" s="8">
        <v>1.23</v>
      </c>
      <c r="I55" s="9">
        <f t="shared" si="0"/>
        <v>276.75</v>
      </c>
    </row>
    <row r="56" spans="1:9" ht="21" customHeight="1">
      <c r="A56" s="27"/>
      <c r="B56" s="35" t="s">
        <v>125</v>
      </c>
      <c r="C56" s="94"/>
      <c r="D56" s="36">
        <v>60006203645</v>
      </c>
      <c r="E56" s="37" t="s">
        <v>126</v>
      </c>
      <c r="F56" s="8">
        <v>14.84</v>
      </c>
      <c r="G56" s="8">
        <v>0.42</v>
      </c>
      <c r="H56" s="8">
        <v>0.05</v>
      </c>
      <c r="I56" s="9">
        <f t="shared" si="0"/>
        <v>15.31</v>
      </c>
    </row>
    <row r="57" spans="1:9" ht="21" customHeight="1">
      <c r="A57" s="27"/>
      <c r="B57" s="26" t="s">
        <v>127</v>
      </c>
      <c r="C57" s="93"/>
      <c r="D57" s="12">
        <v>60007966411</v>
      </c>
      <c r="E57" s="30" t="s">
        <v>128</v>
      </c>
      <c r="F57" s="8">
        <v>72.3</v>
      </c>
      <c r="G57" s="8">
        <v>2.15</v>
      </c>
      <c r="H57" s="8">
        <v>0.06</v>
      </c>
      <c r="I57" s="9">
        <f t="shared" si="0"/>
        <v>74.51</v>
      </c>
    </row>
    <row r="58" spans="1:9" ht="21" customHeight="1">
      <c r="A58" s="27"/>
      <c r="B58" s="26" t="s">
        <v>129</v>
      </c>
      <c r="C58" s="26" t="s">
        <v>289</v>
      </c>
      <c r="D58" s="12">
        <v>60006643135</v>
      </c>
      <c r="E58" s="30" t="s">
        <v>130</v>
      </c>
      <c r="F58" s="8">
        <f>94.84/2</f>
        <v>47.42</v>
      </c>
      <c r="G58" s="8">
        <f>2.81/2</f>
        <v>1.405</v>
      </c>
      <c r="H58" s="8">
        <f>0.08/2</f>
        <v>0.04</v>
      </c>
      <c r="I58" s="9">
        <f t="shared" si="0"/>
        <v>48.865</v>
      </c>
    </row>
    <row r="59" spans="1:9" ht="21" customHeight="1">
      <c r="A59" s="27"/>
      <c r="B59" s="26" t="s">
        <v>131</v>
      </c>
      <c r="C59" s="93"/>
      <c r="D59" s="12">
        <v>60007843244</v>
      </c>
      <c r="E59" s="30" t="s">
        <v>132</v>
      </c>
      <c r="F59" s="8">
        <f>110.53/2</f>
        <v>55.265</v>
      </c>
      <c r="G59" s="8">
        <f>3.28/2</f>
        <v>1.64</v>
      </c>
      <c r="H59" s="8">
        <f>0.08/2</f>
        <v>0.04</v>
      </c>
      <c r="I59" s="9">
        <f aca="true" t="shared" si="1" ref="I59:I119">SUM(F59:H59)</f>
        <v>56.945</v>
      </c>
    </row>
    <row r="60" spans="1:9" ht="21" customHeight="1">
      <c r="A60" s="27"/>
      <c r="B60" s="26" t="s">
        <v>133</v>
      </c>
      <c r="C60" s="26" t="s">
        <v>322</v>
      </c>
      <c r="D60" s="12">
        <v>60007843069</v>
      </c>
      <c r="E60" s="30" t="s">
        <v>134</v>
      </c>
      <c r="F60" s="8">
        <f>96.64/2</f>
        <v>48.32</v>
      </c>
      <c r="G60" s="8">
        <f>2.81/2</f>
        <v>1.405</v>
      </c>
      <c r="H60" s="8">
        <f>0.22/2</f>
        <v>0.11</v>
      </c>
      <c r="I60" s="9">
        <f t="shared" si="1"/>
        <v>49.835</v>
      </c>
    </row>
    <row r="61" spans="1:9" ht="21" customHeight="1">
      <c r="A61" s="27"/>
      <c r="B61" s="26" t="s">
        <v>135</v>
      </c>
      <c r="C61" s="26" t="s">
        <v>353</v>
      </c>
      <c r="D61" s="12">
        <v>60007843073</v>
      </c>
      <c r="E61" s="30" t="s">
        <v>136</v>
      </c>
      <c r="F61" s="8">
        <f>145.15/2</f>
        <v>72.575</v>
      </c>
      <c r="G61" s="8">
        <f>4.32/2</f>
        <v>2.16</v>
      </c>
      <c r="H61" s="8">
        <f>0.08/2</f>
        <v>0.04</v>
      </c>
      <c r="I61" s="9">
        <f t="shared" si="1"/>
        <v>74.775</v>
      </c>
    </row>
    <row r="62" spans="1:9" ht="21" customHeight="1">
      <c r="A62" s="27"/>
      <c r="B62" s="26" t="s">
        <v>137</v>
      </c>
      <c r="C62" s="93"/>
      <c r="D62" s="12">
        <v>60007843356</v>
      </c>
      <c r="E62" s="30" t="s">
        <v>138</v>
      </c>
      <c r="F62" s="8">
        <f>33.1/2</f>
        <v>16.55</v>
      </c>
      <c r="G62" s="8">
        <f>0.96/2</f>
        <v>0.48</v>
      </c>
      <c r="H62" s="8">
        <f>0.07/2</f>
        <v>0.035</v>
      </c>
      <c r="I62" s="9">
        <f t="shared" si="1"/>
        <v>17.065</v>
      </c>
    </row>
    <row r="63" spans="1:9" ht="21" customHeight="1">
      <c r="A63" s="27"/>
      <c r="B63" s="26" t="s">
        <v>139</v>
      </c>
      <c r="C63" s="93"/>
      <c r="D63" s="12">
        <v>60007847274</v>
      </c>
      <c r="E63" s="30" t="s">
        <v>140</v>
      </c>
      <c r="F63" s="8">
        <f>70.75/2</f>
        <v>35.375</v>
      </c>
      <c r="G63" s="8">
        <f>2.03/2</f>
        <v>1.015</v>
      </c>
      <c r="H63" s="8">
        <f>0.22/2</f>
        <v>0.11</v>
      </c>
      <c r="I63" s="9">
        <f t="shared" si="1"/>
        <v>36.5</v>
      </c>
    </row>
    <row r="64" spans="1:9" ht="21" customHeight="1">
      <c r="A64" s="27"/>
      <c r="B64" s="26" t="s">
        <v>141</v>
      </c>
      <c r="C64" s="93"/>
      <c r="D64" s="12">
        <v>60007847482</v>
      </c>
      <c r="E64" s="30" t="s">
        <v>142</v>
      </c>
      <c r="F64" s="8">
        <v>37.72</v>
      </c>
      <c r="G64" s="8">
        <v>1.11</v>
      </c>
      <c r="H64" s="8">
        <v>0.06</v>
      </c>
      <c r="I64" s="9">
        <f t="shared" si="1"/>
        <v>38.89</v>
      </c>
    </row>
    <row r="65" spans="1:9" ht="21" customHeight="1">
      <c r="A65" s="27"/>
      <c r="B65" s="26" t="s">
        <v>143</v>
      </c>
      <c r="C65" s="26" t="s">
        <v>323</v>
      </c>
      <c r="D65" s="12">
        <v>60007858040</v>
      </c>
      <c r="E65" s="78" t="s">
        <v>144</v>
      </c>
      <c r="F65" s="8">
        <v>18.88</v>
      </c>
      <c r="G65" s="8">
        <v>0.53</v>
      </c>
      <c r="H65" s="8">
        <v>0.09</v>
      </c>
      <c r="I65" s="9">
        <f t="shared" si="1"/>
        <v>19.5</v>
      </c>
    </row>
    <row r="66" spans="1:9" ht="21" customHeight="1">
      <c r="A66" s="27"/>
      <c r="B66" s="43" t="s">
        <v>145</v>
      </c>
      <c r="C66" s="43" t="s">
        <v>358</v>
      </c>
      <c r="D66" s="44">
        <v>60007889355</v>
      </c>
      <c r="E66" s="37" t="s">
        <v>146</v>
      </c>
      <c r="F66" s="18">
        <f>48.72/2</f>
        <v>24.36</v>
      </c>
      <c r="G66" s="18">
        <f>1.43/2</f>
        <v>0.715</v>
      </c>
      <c r="H66" s="18">
        <f>0.07/2</f>
        <v>0.035</v>
      </c>
      <c r="I66" s="9">
        <f t="shared" si="1"/>
        <v>25.11</v>
      </c>
    </row>
    <row r="67" spans="1:9" ht="21" customHeight="1">
      <c r="A67" s="39"/>
      <c r="B67" s="41" t="s">
        <v>147</v>
      </c>
      <c r="C67" s="41" t="s">
        <v>311</v>
      </c>
      <c r="D67" s="40">
        <v>60007899611</v>
      </c>
      <c r="E67" s="42" t="s">
        <v>148</v>
      </c>
      <c r="F67" s="18">
        <v>93.53</v>
      </c>
      <c r="G67" s="18">
        <v>2.77</v>
      </c>
      <c r="H67" s="18">
        <v>0.09</v>
      </c>
      <c r="I67" s="9">
        <f t="shared" si="1"/>
        <v>96.39</v>
      </c>
    </row>
    <row r="68" spans="1:9" ht="21" customHeight="1">
      <c r="A68" s="27"/>
      <c r="B68" s="26" t="s">
        <v>149</v>
      </c>
      <c r="C68" s="93"/>
      <c r="D68" s="12">
        <v>60008073286</v>
      </c>
      <c r="E68" s="30" t="s">
        <v>150</v>
      </c>
      <c r="F68" s="8">
        <f>32.08/2</f>
        <v>16.04</v>
      </c>
      <c r="G68" s="8">
        <f>0.87/2</f>
        <v>0.435</v>
      </c>
      <c r="H68" s="8">
        <f>0.22/2</f>
        <v>0.11</v>
      </c>
      <c r="I68" s="9">
        <f t="shared" si="1"/>
        <v>16.584999999999997</v>
      </c>
    </row>
    <row r="69" spans="1:9" ht="21" customHeight="1">
      <c r="A69" s="27"/>
      <c r="B69" s="26" t="s">
        <v>151</v>
      </c>
      <c r="C69" s="26"/>
      <c r="D69" s="12">
        <v>60008101006</v>
      </c>
      <c r="E69" s="30" t="s">
        <v>152</v>
      </c>
      <c r="F69" s="8">
        <v>32.39</v>
      </c>
      <c r="G69" s="8">
        <v>0.93</v>
      </c>
      <c r="H69" s="8">
        <v>0.1</v>
      </c>
      <c r="I69" s="9">
        <f t="shared" si="1"/>
        <v>33.42</v>
      </c>
    </row>
    <row r="70" spans="1:9" ht="21" customHeight="1">
      <c r="A70" s="27"/>
      <c r="B70" s="26" t="s">
        <v>153</v>
      </c>
      <c r="C70" s="26" t="s">
        <v>359</v>
      </c>
      <c r="D70" s="12">
        <v>60008115357</v>
      </c>
      <c r="E70" s="30" t="s">
        <v>154</v>
      </c>
      <c r="F70" s="8">
        <v>38.45</v>
      </c>
      <c r="G70" s="8">
        <v>1.13</v>
      </c>
      <c r="H70" s="8">
        <v>0.06</v>
      </c>
      <c r="I70" s="9">
        <f t="shared" si="1"/>
        <v>39.64000000000001</v>
      </c>
    </row>
    <row r="71" spans="1:9" ht="21" customHeight="1">
      <c r="A71" s="27"/>
      <c r="B71" s="26" t="s">
        <v>155</v>
      </c>
      <c r="C71" s="26" t="s">
        <v>312</v>
      </c>
      <c r="D71" s="12">
        <v>60008450632</v>
      </c>
      <c r="E71" s="30" t="s">
        <v>156</v>
      </c>
      <c r="F71" s="8">
        <v>16</v>
      </c>
      <c r="G71" s="8">
        <v>0.46</v>
      </c>
      <c r="H71" s="8">
        <v>0.05</v>
      </c>
      <c r="I71" s="9">
        <f t="shared" si="1"/>
        <v>16.51</v>
      </c>
    </row>
    <row r="72" spans="1:9" ht="21" customHeight="1">
      <c r="A72" s="27"/>
      <c r="B72" s="26" t="s">
        <v>157</v>
      </c>
      <c r="C72" s="26" t="s">
        <v>360</v>
      </c>
      <c r="D72" s="12">
        <v>60008427213</v>
      </c>
      <c r="E72" s="30" t="s">
        <v>158</v>
      </c>
      <c r="F72" s="8">
        <f>46.9/2</f>
        <v>23.45</v>
      </c>
      <c r="G72" s="8">
        <f>1.38/2</f>
        <v>0.69</v>
      </c>
      <c r="H72" s="8">
        <f>0.07/2</f>
        <v>0.035</v>
      </c>
      <c r="I72" s="9">
        <f t="shared" si="1"/>
        <v>24.175</v>
      </c>
    </row>
    <row r="73" spans="1:9" ht="21" customHeight="1">
      <c r="A73" s="27"/>
      <c r="B73" s="26" t="s">
        <v>159</v>
      </c>
      <c r="C73" s="26" t="s">
        <v>361</v>
      </c>
      <c r="D73" s="12">
        <v>60008475541</v>
      </c>
      <c r="E73" s="30" t="s">
        <v>160</v>
      </c>
      <c r="F73" s="8">
        <f>52.65/2</f>
        <v>26.325</v>
      </c>
      <c r="G73" s="8">
        <f>1.55/2</f>
        <v>0.775</v>
      </c>
      <c r="H73" s="8">
        <f>0.08/2</f>
        <v>0.04</v>
      </c>
      <c r="I73" s="9">
        <f t="shared" si="1"/>
        <v>27.139999999999997</v>
      </c>
    </row>
    <row r="74" spans="1:9" ht="21" customHeight="1">
      <c r="A74" s="27"/>
      <c r="B74" s="26" t="s">
        <v>161</v>
      </c>
      <c r="C74" s="93"/>
      <c r="D74" s="12">
        <v>60008368817</v>
      </c>
      <c r="E74" s="30" t="s">
        <v>162</v>
      </c>
      <c r="F74" s="8">
        <v>31.04</v>
      </c>
      <c r="G74" s="8">
        <v>0.91</v>
      </c>
      <c r="H74" s="8">
        <v>0.05</v>
      </c>
      <c r="I74" s="9">
        <f t="shared" si="1"/>
        <v>32</v>
      </c>
    </row>
    <row r="75" spans="1:9" ht="21" customHeight="1">
      <c r="A75" s="27"/>
      <c r="B75" s="26" t="s">
        <v>163</v>
      </c>
      <c r="C75" s="26" t="s">
        <v>372</v>
      </c>
      <c r="D75" s="12">
        <v>60091069643</v>
      </c>
      <c r="E75" s="30" t="s">
        <v>164</v>
      </c>
      <c r="F75" s="8">
        <v>19.93</v>
      </c>
      <c r="G75" s="8">
        <v>0.57</v>
      </c>
      <c r="H75" s="8">
        <v>0.05</v>
      </c>
      <c r="I75" s="9">
        <f t="shared" si="1"/>
        <v>20.55</v>
      </c>
    </row>
    <row r="76" spans="1:9" ht="21" customHeight="1">
      <c r="A76" s="27"/>
      <c r="B76" s="26" t="s">
        <v>165</v>
      </c>
      <c r="C76" s="26" t="s">
        <v>363</v>
      </c>
      <c r="D76" s="12">
        <v>60089709450</v>
      </c>
      <c r="E76" s="30" t="s">
        <v>166</v>
      </c>
      <c r="F76" s="8">
        <v>32.01</v>
      </c>
      <c r="G76" s="8">
        <v>0.93</v>
      </c>
      <c r="H76" s="8">
        <v>0.06</v>
      </c>
      <c r="I76" s="9">
        <f t="shared" si="1"/>
        <v>33</v>
      </c>
    </row>
    <row r="77" spans="1:9" ht="21" customHeight="1">
      <c r="A77" s="27"/>
      <c r="B77" s="26" t="s">
        <v>167</v>
      </c>
      <c r="C77" s="26" t="s">
        <v>362</v>
      </c>
      <c r="D77" s="12">
        <v>60089553056</v>
      </c>
      <c r="E77" s="30" t="s">
        <v>168</v>
      </c>
      <c r="F77" s="8">
        <f>(217.51/2)+(232.95/2)</f>
        <v>225.23</v>
      </c>
      <c r="G77" s="8">
        <f>(6.49/2)+(6.95/2)</f>
        <v>6.720000000000001</v>
      </c>
      <c r="H77" s="8">
        <f>(0.09/2)+(0.09/2)</f>
        <v>0.09</v>
      </c>
      <c r="I77" s="9">
        <f t="shared" si="1"/>
        <v>232.04</v>
      </c>
    </row>
    <row r="78" spans="1:9" ht="21" customHeight="1">
      <c r="A78" s="27"/>
      <c r="B78" s="26" t="s">
        <v>169</v>
      </c>
      <c r="C78" s="26" t="s">
        <v>364</v>
      </c>
      <c r="D78" s="17">
        <v>60090692774</v>
      </c>
      <c r="E78" s="31" t="s">
        <v>170</v>
      </c>
      <c r="F78" s="18">
        <v>22.27</v>
      </c>
      <c r="G78" s="18">
        <v>0.64</v>
      </c>
      <c r="H78" s="18">
        <v>0.06</v>
      </c>
      <c r="I78" s="9">
        <f t="shared" si="1"/>
        <v>22.97</v>
      </c>
    </row>
    <row r="79" spans="1:9" ht="21" customHeight="1">
      <c r="A79" s="27"/>
      <c r="B79" s="26" t="s">
        <v>171</v>
      </c>
      <c r="C79" s="93"/>
      <c r="D79" s="12">
        <v>60006579681</v>
      </c>
      <c r="E79" s="30" t="s">
        <v>172</v>
      </c>
      <c r="F79" s="8">
        <v>19.6</v>
      </c>
      <c r="G79" s="8">
        <v>0.56</v>
      </c>
      <c r="H79" s="8">
        <v>0.05</v>
      </c>
      <c r="I79" s="9">
        <f t="shared" si="1"/>
        <v>20.21</v>
      </c>
    </row>
    <row r="80" spans="1:9" ht="21" customHeight="1">
      <c r="A80" s="27"/>
      <c r="B80" s="26" t="s">
        <v>173</v>
      </c>
      <c r="C80" s="26" t="s">
        <v>333</v>
      </c>
      <c r="D80" s="12">
        <v>60006586696</v>
      </c>
      <c r="E80" s="30" t="s">
        <v>174</v>
      </c>
      <c r="F80" s="8">
        <f>244.04/2</f>
        <v>122.02</v>
      </c>
      <c r="G80" s="8">
        <f>7.23/2</f>
        <v>3.615</v>
      </c>
      <c r="H80" s="8">
        <f>0.21/2</f>
        <v>0.105</v>
      </c>
      <c r="I80" s="9">
        <f t="shared" si="1"/>
        <v>125.74</v>
      </c>
    </row>
    <row r="81" spans="1:9" ht="21" customHeight="1">
      <c r="A81" s="27"/>
      <c r="B81" s="26" t="s">
        <v>175</v>
      </c>
      <c r="C81" s="93"/>
      <c r="D81" s="17">
        <v>60006586704</v>
      </c>
      <c r="E81" s="31" t="s">
        <v>176</v>
      </c>
      <c r="F81" s="18"/>
      <c r="G81" s="18"/>
      <c r="H81" s="18"/>
      <c r="I81" s="9">
        <f t="shared" si="1"/>
        <v>0</v>
      </c>
    </row>
    <row r="82" spans="1:9" ht="21" customHeight="1">
      <c r="A82" s="27"/>
      <c r="B82" s="26" t="s">
        <v>177</v>
      </c>
      <c r="C82" s="26" t="s">
        <v>370</v>
      </c>
      <c r="D82" s="12">
        <v>60006587652</v>
      </c>
      <c r="E82" s="33" t="s">
        <v>178</v>
      </c>
      <c r="F82" s="15">
        <f>58.42/2</f>
        <v>29.21</v>
      </c>
      <c r="G82" s="15">
        <f>1.66/2</f>
        <v>0.83</v>
      </c>
      <c r="H82" s="15">
        <f>0.21/2</f>
        <v>0.105</v>
      </c>
      <c r="I82" s="9">
        <f t="shared" si="1"/>
        <v>30.145</v>
      </c>
    </row>
    <row r="83" spans="1:9" ht="21" customHeight="1">
      <c r="A83" s="27"/>
      <c r="B83" s="26" t="s">
        <v>179</v>
      </c>
      <c r="C83" s="26" t="s">
        <v>334</v>
      </c>
      <c r="D83" s="12">
        <v>60006587671</v>
      </c>
      <c r="E83" s="30" t="s">
        <v>180</v>
      </c>
      <c r="F83" s="8">
        <v>58.83</v>
      </c>
      <c r="G83" s="8">
        <v>1.72</v>
      </c>
      <c r="H83" s="8">
        <v>0.09</v>
      </c>
      <c r="I83" s="9">
        <f t="shared" si="1"/>
        <v>60.64</v>
      </c>
    </row>
    <row r="84" spans="1:9" ht="21" customHeight="1">
      <c r="A84" s="27"/>
      <c r="B84" s="26" t="s">
        <v>181</v>
      </c>
      <c r="C84" s="26" t="s">
        <v>335</v>
      </c>
      <c r="D84" s="12">
        <v>60006593566</v>
      </c>
      <c r="E84" s="30" t="s">
        <v>182</v>
      </c>
      <c r="F84" s="8">
        <f>105.12/2</f>
        <v>52.56</v>
      </c>
      <c r="G84" s="8">
        <f>3.12/2</f>
        <v>1.56</v>
      </c>
      <c r="H84" s="8">
        <f>0.08/2</f>
        <v>0.04</v>
      </c>
      <c r="I84" s="9">
        <f t="shared" si="1"/>
        <v>54.160000000000004</v>
      </c>
    </row>
    <row r="85" spans="1:9" ht="21" customHeight="1">
      <c r="A85" s="27"/>
      <c r="B85" s="26" t="s">
        <v>183</v>
      </c>
      <c r="C85" s="26" t="s">
        <v>336</v>
      </c>
      <c r="D85" s="12">
        <v>60006601563</v>
      </c>
      <c r="E85" s="30" t="s">
        <v>184</v>
      </c>
      <c r="F85" s="8">
        <v>54.5277333333333</v>
      </c>
      <c r="G85" s="8">
        <v>1.59693333333333</v>
      </c>
      <c r="H85" s="8">
        <v>0.0889333333333333</v>
      </c>
      <c r="I85" s="9">
        <f t="shared" si="1"/>
        <v>56.213599999999964</v>
      </c>
    </row>
    <row r="86" spans="1:9" ht="21" customHeight="1">
      <c r="A86" s="27"/>
      <c r="B86" s="26" t="s">
        <v>185</v>
      </c>
      <c r="C86" s="26" t="s">
        <v>310</v>
      </c>
      <c r="D86" s="12">
        <v>60006630551</v>
      </c>
      <c r="E86" s="30" t="s">
        <v>186</v>
      </c>
      <c r="F86" s="8">
        <f>168.73/2</f>
        <v>84.365</v>
      </c>
      <c r="G86" s="8">
        <f>4.97/2</f>
        <v>2.485</v>
      </c>
      <c r="H86" s="8">
        <f>0.21/2</f>
        <v>0.105</v>
      </c>
      <c r="I86" s="9">
        <f t="shared" si="1"/>
        <v>86.955</v>
      </c>
    </row>
    <row r="87" spans="1:9" ht="21" customHeight="1">
      <c r="A87" s="27"/>
      <c r="B87" s="26" t="s">
        <v>187</v>
      </c>
      <c r="C87" s="26" t="s">
        <v>287</v>
      </c>
      <c r="D87" s="12">
        <v>60006631759</v>
      </c>
      <c r="E87" s="30" t="s">
        <v>188</v>
      </c>
      <c r="F87" s="8">
        <f>91.8/2</f>
        <v>45.9</v>
      </c>
      <c r="G87" s="8">
        <f>2.72/2</f>
        <v>1.36</v>
      </c>
      <c r="H87" s="8">
        <f>0.08/2</f>
        <v>0.04</v>
      </c>
      <c r="I87" s="9">
        <f t="shared" si="1"/>
        <v>47.3</v>
      </c>
    </row>
    <row r="88" spans="1:9" ht="21" customHeight="1">
      <c r="A88" s="27"/>
      <c r="B88" s="26" t="s">
        <v>189</v>
      </c>
      <c r="C88" s="26" t="s">
        <v>339</v>
      </c>
      <c r="D88" s="12">
        <v>60006631974</v>
      </c>
      <c r="E88" s="30" t="s">
        <v>190</v>
      </c>
      <c r="F88" s="8">
        <v>136.22</v>
      </c>
      <c r="G88" s="8">
        <v>4.06</v>
      </c>
      <c r="H88" s="8">
        <v>0.05</v>
      </c>
      <c r="I88" s="9">
        <f t="shared" si="1"/>
        <v>140.33</v>
      </c>
    </row>
    <row r="89" spans="1:9" ht="21" customHeight="1">
      <c r="A89" s="27"/>
      <c r="B89" s="26" t="s">
        <v>191</v>
      </c>
      <c r="C89" s="26" t="s">
        <v>356</v>
      </c>
      <c r="D89" s="12">
        <v>60007843337</v>
      </c>
      <c r="E89" s="30" t="s">
        <v>192</v>
      </c>
      <c r="F89" s="8">
        <f>127.99/2</f>
        <v>63.995</v>
      </c>
      <c r="G89" s="8">
        <f>3.81/2</f>
        <v>1.905</v>
      </c>
      <c r="H89" s="8">
        <f>0.07/2</f>
        <v>0.035</v>
      </c>
      <c r="I89" s="9">
        <f t="shared" si="1"/>
        <v>65.93499999999999</v>
      </c>
    </row>
    <row r="90" spans="1:9" ht="21" customHeight="1">
      <c r="A90" s="27"/>
      <c r="B90" s="26" t="s">
        <v>193</v>
      </c>
      <c r="C90" s="26" t="s">
        <v>305</v>
      </c>
      <c r="D90" s="12">
        <v>60006631992</v>
      </c>
      <c r="E90" s="30" t="s">
        <v>194</v>
      </c>
      <c r="F90" s="8">
        <v>181.24</v>
      </c>
      <c r="G90" s="8">
        <v>5.4</v>
      </c>
      <c r="H90" s="8">
        <v>0.09</v>
      </c>
      <c r="I90" s="9">
        <f t="shared" si="1"/>
        <v>186.73000000000002</v>
      </c>
    </row>
    <row r="91" spans="1:9" ht="21" customHeight="1">
      <c r="A91" s="27"/>
      <c r="B91" s="26" t="s">
        <v>195</v>
      </c>
      <c r="C91" s="26" t="s">
        <v>341</v>
      </c>
      <c r="D91" s="12">
        <v>60006632013</v>
      </c>
      <c r="E91" s="30" t="s">
        <v>196</v>
      </c>
      <c r="F91" s="8">
        <v>24.5</v>
      </c>
      <c r="G91" s="8">
        <v>0.71</v>
      </c>
      <c r="H91" s="8">
        <v>0.06</v>
      </c>
      <c r="I91" s="9">
        <f t="shared" si="1"/>
        <v>25.27</v>
      </c>
    </row>
    <row r="92" spans="1:9" ht="21" customHeight="1">
      <c r="A92" s="27"/>
      <c r="B92" s="26" t="s">
        <v>197</v>
      </c>
      <c r="C92" s="26" t="s">
        <v>288</v>
      </c>
      <c r="D92" s="12">
        <v>60006632028</v>
      </c>
      <c r="E92" s="30" t="s">
        <v>198</v>
      </c>
      <c r="F92" s="8">
        <v>166.97</v>
      </c>
      <c r="G92" s="8">
        <v>4.97</v>
      </c>
      <c r="H92" s="8">
        <v>0.1</v>
      </c>
      <c r="I92" s="9">
        <f t="shared" si="1"/>
        <v>172.04</v>
      </c>
    </row>
    <row r="93" spans="1:9" ht="21" customHeight="1">
      <c r="A93" s="27"/>
      <c r="B93" s="26" t="s">
        <v>199</v>
      </c>
      <c r="C93" s="26" t="s">
        <v>342</v>
      </c>
      <c r="D93" s="12">
        <v>60006632034</v>
      </c>
      <c r="E93" s="30" t="s">
        <v>200</v>
      </c>
      <c r="F93" s="8">
        <v>24.58</v>
      </c>
      <c r="G93" s="8">
        <v>0.71</v>
      </c>
      <c r="H93" s="8">
        <v>0.06</v>
      </c>
      <c r="I93" s="9">
        <f t="shared" si="1"/>
        <v>25.349999999999998</v>
      </c>
    </row>
    <row r="94" spans="1:9" ht="21" customHeight="1">
      <c r="A94" s="27"/>
      <c r="B94" s="26" t="s">
        <v>201</v>
      </c>
      <c r="C94" s="26" t="s">
        <v>343</v>
      </c>
      <c r="D94" s="12">
        <v>60006637176</v>
      </c>
      <c r="E94" s="30" t="s">
        <v>202</v>
      </c>
      <c r="F94" s="8">
        <v>31.9</v>
      </c>
      <c r="G94" s="8">
        <v>0.93</v>
      </c>
      <c r="H94" s="8">
        <v>0.06</v>
      </c>
      <c r="I94" s="9">
        <f t="shared" si="1"/>
        <v>32.89</v>
      </c>
    </row>
    <row r="95" spans="1:9" ht="21" customHeight="1">
      <c r="A95" s="27"/>
      <c r="B95" s="26" t="s">
        <v>203</v>
      </c>
      <c r="C95" s="93"/>
      <c r="D95" s="12">
        <v>60006637235</v>
      </c>
      <c r="E95" s="30" t="s">
        <v>204</v>
      </c>
      <c r="F95" s="8">
        <f>24.54/2</f>
        <v>12.27</v>
      </c>
      <c r="G95" s="8">
        <f>0.71/2</f>
        <v>0.355</v>
      </c>
      <c r="H95" s="8">
        <f>0.07/2</f>
        <v>0.035</v>
      </c>
      <c r="I95" s="9">
        <f t="shared" si="1"/>
        <v>12.66</v>
      </c>
    </row>
    <row r="96" spans="1:9" ht="21" customHeight="1">
      <c r="A96" s="27"/>
      <c r="B96" s="26" t="s">
        <v>205</v>
      </c>
      <c r="C96" s="26" t="s">
        <v>306</v>
      </c>
      <c r="D96" s="12">
        <v>60006637714</v>
      </c>
      <c r="E96" s="30" t="s">
        <v>206</v>
      </c>
      <c r="F96" s="8">
        <f>71.07/2</f>
        <v>35.535</v>
      </c>
      <c r="G96" s="8">
        <f>2.04/2</f>
        <v>1.02</v>
      </c>
      <c r="H96" s="8">
        <f>0.21/2</f>
        <v>0.105</v>
      </c>
      <c r="I96" s="9">
        <f t="shared" si="1"/>
        <v>36.66</v>
      </c>
    </row>
    <row r="97" spans="1:9" ht="21" customHeight="1">
      <c r="A97" s="27"/>
      <c r="B97" s="26" t="s">
        <v>207</v>
      </c>
      <c r="C97" s="93"/>
      <c r="D97" s="12">
        <v>60006642108</v>
      </c>
      <c r="E97" s="30" t="s">
        <v>208</v>
      </c>
      <c r="F97" s="8">
        <f>24.54/2</f>
        <v>12.27</v>
      </c>
      <c r="G97" s="8">
        <f>0.71/2</f>
        <v>0.355</v>
      </c>
      <c r="H97" s="8">
        <f>0.07/2</f>
        <v>0.035</v>
      </c>
      <c r="I97" s="9">
        <f t="shared" si="1"/>
        <v>12.66</v>
      </c>
    </row>
    <row r="98" spans="1:9" ht="21" customHeight="1">
      <c r="A98" s="27"/>
      <c r="B98" s="26" t="s">
        <v>209</v>
      </c>
      <c r="C98" s="93"/>
      <c r="D98" s="12">
        <v>60006642114</v>
      </c>
      <c r="E98" s="30" t="s">
        <v>210</v>
      </c>
      <c r="F98" s="8">
        <f>24.54/2</f>
        <v>12.27</v>
      </c>
      <c r="G98" s="8">
        <f>0.71/2</f>
        <v>0.355</v>
      </c>
      <c r="H98" s="8">
        <f>0.07/2</f>
        <v>0.035</v>
      </c>
      <c r="I98" s="9">
        <f t="shared" si="1"/>
        <v>12.66</v>
      </c>
    </row>
    <row r="99" spans="1:9" ht="21" customHeight="1">
      <c r="A99" s="27"/>
      <c r="B99" s="26" t="s">
        <v>211</v>
      </c>
      <c r="C99" s="26" t="s">
        <v>290</v>
      </c>
      <c r="D99" s="12">
        <v>60006644426</v>
      </c>
      <c r="E99" s="30" t="s">
        <v>212</v>
      </c>
      <c r="F99" s="8">
        <v>56.54</v>
      </c>
      <c r="G99" s="8">
        <v>1.67</v>
      </c>
      <c r="H99" s="8">
        <v>0.05</v>
      </c>
      <c r="I99" s="9">
        <f t="shared" si="1"/>
        <v>58.26</v>
      </c>
    </row>
    <row r="100" spans="1:9" ht="21" customHeight="1">
      <c r="A100" s="27"/>
      <c r="B100" s="26" t="s">
        <v>213</v>
      </c>
      <c r="C100" s="93"/>
      <c r="D100" s="12">
        <v>60006644431</v>
      </c>
      <c r="E100" s="30" t="s">
        <v>214</v>
      </c>
      <c r="F100" s="8">
        <v>69.32</v>
      </c>
      <c r="G100" s="8">
        <v>2.06</v>
      </c>
      <c r="H100" s="8">
        <v>0.05</v>
      </c>
      <c r="I100" s="9">
        <f t="shared" si="1"/>
        <v>71.42999999999999</v>
      </c>
    </row>
    <row r="101" spans="1:9" ht="21" customHeight="1">
      <c r="A101" s="27"/>
      <c r="B101" s="26" t="s">
        <v>215</v>
      </c>
      <c r="C101" s="26" t="s">
        <v>344</v>
      </c>
      <c r="D101" s="12">
        <v>60006644654</v>
      </c>
      <c r="E101" s="30" t="s">
        <v>216</v>
      </c>
      <c r="F101" s="18">
        <v>38.74</v>
      </c>
      <c r="G101" s="18">
        <v>1.13</v>
      </c>
      <c r="H101" s="18">
        <v>0.08</v>
      </c>
      <c r="I101" s="87">
        <f t="shared" si="1"/>
        <v>39.95</v>
      </c>
    </row>
    <row r="102" spans="1:9" ht="21" customHeight="1">
      <c r="A102" s="27"/>
      <c r="B102" s="26" t="s">
        <v>217</v>
      </c>
      <c r="C102" s="93"/>
      <c r="D102" s="12">
        <v>60007182237</v>
      </c>
      <c r="E102" s="30" t="s">
        <v>218</v>
      </c>
      <c r="F102" s="8">
        <f>26.59/2+(25.87/2)</f>
        <v>26.23</v>
      </c>
      <c r="G102" s="8">
        <f>0.77/2+(0.75/2)</f>
        <v>0.76</v>
      </c>
      <c r="H102" s="8">
        <f>0.05/2+(0.05/2)</f>
        <v>0.05</v>
      </c>
      <c r="I102" s="9">
        <f t="shared" si="1"/>
        <v>27.040000000000003</v>
      </c>
    </row>
    <row r="103" spans="1:9" ht="21" customHeight="1">
      <c r="A103" s="27"/>
      <c r="B103" s="26" t="s">
        <v>219</v>
      </c>
      <c r="C103" s="26" t="s">
        <v>354</v>
      </c>
      <c r="D103" s="12">
        <v>60007843211</v>
      </c>
      <c r="E103" s="30" t="s">
        <v>220</v>
      </c>
      <c r="F103" s="8">
        <v>27.51</v>
      </c>
      <c r="G103" s="8">
        <v>0.8</v>
      </c>
      <c r="H103" s="8">
        <v>0.05</v>
      </c>
      <c r="I103" s="9">
        <f t="shared" si="1"/>
        <v>28.360000000000003</v>
      </c>
    </row>
    <row r="104" spans="1:9" ht="21" customHeight="1">
      <c r="A104" s="27"/>
      <c r="B104" s="26" t="s">
        <v>221</v>
      </c>
      <c r="C104" s="26" t="s">
        <v>355</v>
      </c>
      <c r="D104" s="12">
        <v>60007843225</v>
      </c>
      <c r="E104" s="30" t="s">
        <v>222</v>
      </c>
      <c r="F104" s="8">
        <v>9.56</v>
      </c>
      <c r="G104" s="8">
        <v>0.26</v>
      </c>
      <c r="H104" s="8">
        <v>0.05</v>
      </c>
      <c r="I104" s="9">
        <f t="shared" si="1"/>
        <v>9.870000000000001</v>
      </c>
    </row>
    <row r="105" spans="1:9" ht="21" customHeight="1">
      <c r="A105" s="27"/>
      <c r="B105" s="26" t="s">
        <v>223</v>
      </c>
      <c r="C105" s="26" t="s">
        <v>347</v>
      </c>
      <c r="D105" s="12">
        <v>60007211343</v>
      </c>
      <c r="E105" s="30" t="s">
        <v>224</v>
      </c>
      <c r="F105" s="8">
        <f>10.17/2</f>
        <v>5.085</v>
      </c>
      <c r="G105" s="8">
        <f>0.31/2</f>
        <v>0.155</v>
      </c>
      <c r="H105" s="8">
        <v>0</v>
      </c>
      <c r="I105" s="9">
        <f t="shared" si="1"/>
        <v>5.24</v>
      </c>
    </row>
    <row r="106" spans="1:9" ht="21" customHeight="1">
      <c r="A106" s="27"/>
      <c r="B106" s="26" t="s">
        <v>225</v>
      </c>
      <c r="C106" s="26" t="s">
        <v>346</v>
      </c>
      <c r="D106" s="12">
        <v>60007211339</v>
      </c>
      <c r="E106" s="30" t="s">
        <v>226</v>
      </c>
      <c r="F106" s="8">
        <f>100.32/2</f>
        <v>50.16</v>
      </c>
      <c r="G106" s="8">
        <f>2.92/2</f>
        <v>1.46</v>
      </c>
      <c r="H106" s="8">
        <f>0.21/2</f>
        <v>0.105</v>
      </c>
      <c r="I106" s="9">
        <f t="shared" si="1"/>
        <v>51.724999999999994</v>
      </c>
    </row>
    <row r="107" spans="1:9" ht="21" customHeight="1">
      <c r="A107" s="27"/>
      <c r="B107" s="26" t="s">
        <v>227</v>
      </c>
      <c r="C107" s="26" t="s">
        <v>291</v>
      </c>
      <c r="D107" s="12">
        <v>60007239731</v>
      </c>
      <c r="E107" s="30" t="s">
        <v>228</v>
      </c>
      <c r="F107" s="8"/>
      <c r="G107" s="8"/>
      <c r="H107" s="8"/>
      <c r="I107" s="9">
        <f t="shared" si="1"/>
        <v>0</v>
      </c>
    </row>
    <row r="108" spans="1:9" ht="21" customHeight="1">
      <c r="A108" s="27"/>
      <c r="B108" s="26" t="s">
        <v>229</v>
      </c>
      <c r="C108" s="26" t="s">
        <v>348</v>
      </c>
      <c r="D108" s="12">
        <v>60007483419</v>
      </c>
      <c r="E108" s="30" t="s">
        <v>230</v>
      </c>
      <c r="F108" s="8">
        <f>44.4/2</f>
        <v>22.2</v>
      </c>
      <c r="G108" s="8">
        <f>1.3/2</f>
        <v>0.65</v>
      </c>
      <c r="H108" s="8">
        <f>0.08/2</f>
        <v>0.04</v>
      </c>
      <c r="I108" s="9">
        <f t="shared" si="1"/>
        <v>22.889999999999997</v>
      </c>
    </row>
    <row r="109" spans="1:9" ht="21" customHeight="1">
      <c r="A109" s="27"/>
      <c r="B109" s="26" t="s">
        <v>231</v>
      </c>
      <c r="C109" s="26" t="s">
        <v>301</v>
      </c>
      <c r="D109" s="12">
        <v>60006579638</v>
      </c>
      <c r="E109" s="30" t="s">
        <v>232</v>
      </c>
      <c r="F109" s="8">
        <v>11.88</v>
      </c>
      <c r="G109" s="8">
        <v>0.33</v>
      </c>
      <c r="H109" s="8">
        <v>0.06</v>
      </c>
      <c r="I109" s="9">
        <f t="shared" si="1"/>
        <v>12.270000000000001</v>
      </c>
    </row>
    <row r="110" spans="1:9" ht="21" customHeight="1">
      <c r="A110" s="27"/>
      <c r="B110" s="26" t="s">
        <v>233</v>
      </c>
      <c r="C110" s="26" t="s">
        <v>349</v>
      </c>
      <c r="D110" s="12">
        <v>60006579657</v>
      </c>
      <c r="E110" s="30" t="s">
        <v>234</v>
      </c>
      <c r="F110" s="8">
        <v>96.21</v>
      </c>
      <c r="G110" s="8">
        <v>2.86</v>
      </c>
      <c r="H110" s="8">
        <v>0.05</v>
      </c>
      <c r="I110" s="9">
        <f t="shared" si="1"/>
        <v>99.11999999999999</v>
      </c>
    </row>
    <row r="111" spans="1:9" ht="21" customHeight="1">
      <c r="A111" s="27"/>
      <c r="B111" s="26" t="s">
        <v>235</v>
      </c>
      <c r="C111" s="93"/>
      <c r="D111" s="12">
        <v>60006579676</v>
      </c>
      <c r="E111" s="30" t="s">
        <v>236</v>
      </c>
      <c r="F111" s="8">
        <v>12.85</v>
      </c>
      <c r="G111" s="8">
        <v>0.36</v>
      </c>
      <c r="H111" s="8">
        <v>0.05</v>
      </c>
      <c r="I111" s="9">
        <f t="shared" si="1"/>
        <v>13.26</v>
      </c>
    </row>
    <row r="112" spans="1:9" ht="21" customHeight="1">
      <c r="A112" s="27"/>
      <c r="B112" s="26" t="s">
        <v>237</v>
      </c>
      <c r="C112" s="26" t="s">
        <v>351</v>
      </c>
      <c r="D112" s="12">
        <v>60007631681</v>
      </c>
      <c r="E112" s="30" t="s">
        <v>238</v>
      </c>
      <c r="F112" s="8">
        <v>14.13</v>
      </c>
      <c r="G112" s="8">
        <v>0.4</v>
      </c>
      <c r="H112" s="8">
        <v>0.05</v>
      </c>
      <c r="I112" s="9">
        <f t="shared" si="1"/>
        <v>14.580000000000002</v>
      </c>
    </row>
    <row r="113" spans="1:9" ht="21" customHeight="1">
      <c r="A113" s="27"/>
      <c r="B113" s="26" t="s">
        <v>239</v>
      </c>
      <c r="C113" s="26" t="s">
        <v>357</v>
      </c>
      <c r="D113" s="12">
        <v>60007848373</v>
      </c>
      <c r="E113" s="30" t="s">
        <v>240</v>
      </c>
      <c r="F113" s="8">
        <f>240.6/2</f>
        <v>120.3</v>
      </c>
      <c r="G113" s="8">
        <f>7.13/2</f>
        <v>3.565</v>
      </c>
      <c r="H113" s="8">
        <f>0.21/2</f>
        <v>0.105</v>
      </c>
      <c r="I113" s="9">
        <f t="shared" si="1"/>
        <v>123.97</v>
      </c>
    </row>
    <row r="114" spans="1:9" ht="21" customHeight="1">
      <c r="A114" s="27"/>
      <c r="B114" s="26" t="s">
        <v>241</v>
      </c>
      <c r="C114" s="26" t="s">
        <v>338</v>
      </c>
      <c r="D114" s="12">
        <v>60006631880</v>
      </c>
      <c r="E114" s="30" t="s">
        <v>242</v>
      </c>
      <c r="F114" s="8">
        <f>-40.36/2</f>
        <v>-20.18</v>
      </c>
      <c r="G114" s="8">
        <f>-1.24/2</f>
        <v>-0.62</v>
      </c>
      <c r="H114" s="8">
        <f>0.08/2</f>
        <v>0.04</v>
      </c>
      <c r="I114" s="9">
        <f t="shared" si="1"/>
        <v>-20.76</v>
      </c>
    </row>
    <row r="115" spans="1:9" ht="21" customHeight="1">
      <c r="A115" s="27"/>
      <c r="B115" s="26" t="s">
        <v>243</v>
      </c>
      <c r="C115" s="26" t="s">
        <v>320</v>
      </c>
      <c r="D115" s="12">
        <v>60006631920</v>
      </c>
      <c r="E115" s="30" t="s">
        <v>244</v>
      </c>
      <c r="F115" s="8">
        <v>39.62</v>
      </c>
      <c r="G115" s="8">
        <v>1.15</v>
      </c>
      <c r="H115" s="8">
        <v>0.09</v>
      </c>
      <c r="I115" s="9">
        <f t="shared" si="1"/>
        <v>40.86</v>
      </c>
    </row>
    <row r="116" spans="1:9" ht="21" customHeight="1">
      <c r="A116" s="27"/>
      <c r="B116" s="26" t="s">
        <v>245</v>
      </c>
      <c r="C116" s="26" t="s">
        <v>340</v>
      </c>
      <c r="D116" s="12">
        <v>60006631987</v>
      </c>
      <c r="E116" s="30" t="s">
        <v>246</v>
      </c>
      <c r="F116" s="8">
        <f>359.42/2</f>
        <v>179.71</v>
      </c>
      <c r="G116" s="8">
        <f>10.69/2</f>
        <v>5.345</v>
      </c>
      <c r="H116" s="8">
        <f>0.21/2</f>
        <v>0.105</v>
      </c>
      <c r="I116" s="9">
        <f t="shared" si="1"/>
        <v>185.16</v>
      </c>
    </row>
    <row r="117" spans="1:9" ht="21" customHeight="1">
      <c r="A117" s="27"/>
      <c r="B117" s="26" t="s">
        <v>247</v>
      </c>
      <c r="C117" s="26" t="s">
        <v>373</v>
      </c>
      <c r="D117" s="12">
        <v>60006632009</v>
      </c>
      <c r="E117" s="30" t="s">
        <v>248</v>
      </c>
      <c r="F117" s="8">
        <v>196.62</v>
      </c>
      <c r="G117" s="8">
        <v>5.86</v>
      </c>
      <c r="H117" s="8">
        <v>0.09</v>
      </c>
      <c r="I117" s="9">
        <f t="shared" si="1"/>
        <v>202.57000000000002</v>
      </c>
    </row>
    <row r="118" spans="1:9" ht="21" customHeight="1">
      <c r="A118" s="27"/>
      <c r="B118" s="26" t="s">
        <v>249</v>
      </c>
      <c r="C118" s="26" t="s">
        <v>350</v>
      </c>
      <c r="D118" s="12">
        <v>60007611240</v>
      </c>
      <c r="E118" s="30" t="s">
        <v>250</v>
      </c>
      <c r="F118" s="8">
        <v>201.99</v>
      </c>
      <c r="G118" s="8">
        <v>6.04</v>
      </c>
      <c r="H118" s="8">
        <v>0.06</v>
      </c>
      <c r="I118" s="9">
        <f t="shared" si="1"/>
        <v>208.09</v>
      </c>
    </row>
    <row r="119" spans="1:9" ht="21" customHeight="1">
      <c r="A119" s="27"/>
      <c r="B119" s="26" t="s">
        <v>251</v>
      </c>
      <c r="C119" s="26" t="s">
        <v>337</v>
      </c>
      <c r="D119" s="12">
        <v>60006613294</v>
      </c>
      <c r="E119" s="30" t="s">
        <v>252</v>
      </c>
      <c r="F119" s="8">
        <f>70.32/2</f>
        <v>35.16</v>
      </c>
      <c r="G119" s="8">
        <f>2.11/2</f>
        <v>1.055</v>
      </c>
      <c r="H119" s="8">
        <v>0</v>
      </c>
      <c r="I119" s="9">
        <f t="shared" si="1"/>
        <v>36.214999999999996</v>
      </c>
    </row>
    <row r="120" spans="1:9" ht="21" customHeight="1">
      <c r="A120" s="27"/>
      <c r="B120" s="26" t="s">
        <v>253</v>
      </c>
      <c r="C120" s="26" t="s">
        <v>303</v>
      </c>
      <c r="D120" s="12">
        <v>60006631725</v>
      </c>
      <c r="E120" s="30" t="s">
        <v>254</v>
      </c>
      <c r="F120" s="8">
        <f>143.64/2</f>
        <v>71.82</v>
      </c>
      <c r="G120" s="8">
        <f>4.28/2</f>
        <v>2.14</v>
      </c>
      <c r="H120" s="8">
        <f>0.07/2</f>
        <v>0.035</v>
      </c>
      <c r="I120" s="9">
        <f aca="true" t="shared" si="2" ref="I120:I130">SUM(F120:H120)</f>
        <v>73.99499999999999</v>
      </c>
    </row>
    <row r="121" spans="1:9" ht="21" customHeight="1">
      <c r="A121" s="27"/>
      <c r="B121" s="26" t="s">
        <v>255</v>
      </c>
      <c r="C121" s="26" t="s">
        <v>304</v>
      </c>
      <c r="D121" s="12">
        <v>60006631818</v>
      </c>
      <c r="E121" s="30" t="s">
        <v>256</v>
      </c>
      <c r="F121" s="8">
        <f>12.74/2+11.69/2</f>
        <v>12.215</v>
      </c>
      <c r="G121" s="8">
        <f>0.36/2+0.33/2</f>
        <v>0.345</v>
      </c>
      <c r="H121" s="8">
        <f>0.06/2+0.05/2</f>
        <v>0.055</v>
      </c>
      <c r="I121" s="9">
        <f t="shared" si="2"/>
        <v>12.615</v>
      </c>
    </row>
    <row r="122" spans="1:9" ht="21" customHeight="1">
      <c r="A122" s="28"/>
      <c r="B122" s="25" t="s">
        <v>257</v>
      </c>
      <c r="C122" s="95"/>
      <c r="D122" s="14">
        <v>60006631824</v>
      </c>
      <c r="E122" s="45" t="s">
        <v>258</v>
      </c>
      <c r="F122" s="15">
        <f>787.57*0.5</f>
        <v>393.785</v>
      </c>
      <c r="G122" s="15">
        <f>23.55*0.5</f>
        <v>11.775</v>
      </c>
      <c r="H122" s="15">
        <f>0.18*0.5</f>
        <v>0.09</v>
      </c>
      <c r="I122" s="9">
        <f t="shared" si="2"/>
        <v>405.65</v>
      </c>
    </row>
    <row r="123" spans="1:9" ht="21" customHeight="1">
      <c r="A123" s="28"/>
      <c r="B123" s="25" t="s">
        <v>259</v>
      </c>
      <c r="C123" s="25" t="s">
        <v>345</v>
      </c>
      <c r="D123" s="14">
        <v>60006872372</v>
      </c>
      <c r="E123" s="45" t="s">
        <v>260</v>
      </c>
      <c r="F123" s="15">
        <v>21.46</v>
      </c>
      <c r="G123" s="15">
        <v>0.62</v>
      </c>
      <c r="H123" s="15">
        <v>0.05</v>
      </c>
      <c r="I123" s="9">
        <f t="shared" si="2"/>
        <v>22.130000000000003</v>
      </c>
    </row>
    <row r="124" spans="1:9" ht="21" customHeight="1">
      <c r="A124" s="28"/>
      <c r="B124" s="25" t="s">
        <v>261</v>
      </c>
      <c r="C124" s="25" t="s">
        <v>321</v>
      </c>
      <c r="D124" s="14">
        <v>60006974384</v>
      </c>
      <c r="E124" s="45" t="s">
        <v>262</v>
      </c>
      <c r="F124" s="15"/>
      <c r="G124" s="15"/>
      <c r="H124" s="15"/>
      <c r="I124" s="9">
        <f t="shared" si="2"/>
        <v>0</v>
      </c>
    </row>
    <row r="125" spans="1:9" ht="21" customHeight="1">
      <c r="A125" s="28"/>
      <c r="B125" s="25" t="s">
        <v>263</v>
      </c>
      <c r="C125" s="25" t="s">
        <v>368</v>
      </c>
      <c r="D125" s="14">
        <v>60006581324</v>
      </c>
      <c r="E125" s="45" t="s">
        <v>264</v>
      </c>
      <c r="F125" s="15">
        <v>241.2</v>
      </c>
      <c r="G125" s="15">
        <v>7.2</v>
      </c>
      <c r="H125" s="15">
        <v>0.09</v>
      </c>
      <c r="I125" s="9">
        <f t="shared" si="2"/>
        <v>248.48999999999998</v>
      </c>
    </row>
    <row r="126" spans="1:9" ht="21" customHeight="1">
      <c r="A126" s="28"/>
      <c r="B126" s="25" t="s">
        <v>265</v>
      </c>
      <c r="C126" s="25" t="s">
        <v>352</v>
      </c>
      <c r="D126" s="14">
        <v>60007651627</v>
      </c>
      <c r="E126" s="45" t="s">
        <v>266</v>
      </c>
      <c r="F126" s="15">
        <v>13.74</v>
      </c>
      <c r="G126" s="15">
        <v>0.39</v>
      </c>
      <c r="H126" s="15">
        <v>0.05</v>
      </c>
      <c r="I126" s="9">
        <f t="shared" si="2"/>
        <v>14.180000000000001</v>
      </c>
    </row>
    <row r="127" spans="1:9" ht="21" customHeight="1">
      <c r="A127" s="28"/>
      <c r="B127" s="25" t="s">
        <v>267</v>
      </c>
      <c r="C127" s="95"/>
      <c r="D127" s="14">
        <v>83007351147</v>
      </c>
      <c r="E127" s="45" t="s">
        <v>268</v>
      </c>
      <c r="F127" s="15">
        <v>11.38</v>
      </c>
      <c r="G127" s="15">
        <v>0.32</v>
      </c>
      <c r="H127" s="15">
        <v>0.05</v>
      </c>
      <c r="I127" s="9">
        <f t="shared" si="2"/>
        <v>11.750000000000002</v>
      </c>
    </row>
    <row r="128" spans="1:9" ht="21" customHeight="1">
      <c r="A128" s="28"/>
      <c r="B128" s="25" t="s">
        <v>269</v>
      </c>
      <c r="C128" s="25"/>
      <c r="D128" s="14">
        <v>83007705623</v>
      </c>
      <c r="E128" s="45" t="s">
        <v>270</v>
      </c>
      <c r="F128" s="15">
        <v>21.59</v>
      </c>
      <c r="G128" s="15">
        <v>0.62</v>
      </c>
      <c r="H128" s="15">
        <v>0.06</v>
      </c>
      <c r="I128" s="9">
        <f t="shared" si="2"/>
        <v>22.27</v>
      </c>
    </row>
    <row r="129" spans="1:9" ht="21" customHeight="1">
      <c r="A129" s="28"/>
      <c r="B129" s="25" t="s">
        <v>271</v>
      </c>
      <c r="C129" s="25"/>
      <c r="D129" s="14">
        <v>83007812488</v>
      </c>
      <c r="E129" s="45" t="s">
        <v>272</v>
      </c>
      <c r="F129" s="15">
        <v>53.83</v>
      </c>
      <c r="G129" s="15">
        <v>1.59</v>
      </c>
      <c r="H129" s="15">
        <v>0.06</v>
      </c>
      <c r="I129" s="9">
        <f t="shared" si="2"/>
        <v>55.480000000000004</v>
      </c>
    </row>
    <row r="130" spans="1:9" ht="21" customHeight="1">
      <c r="A130" s="28"/>
      <c r="B130" s="25" t="s">
        <v>273</v>
      </c>
      <c r="C130" s="25"/>
      <c r="D130" s="14">
        <v>83007946440</v>
      </c>
      <c r="E130" s="45" t="s">
        <v>274</v>
      </c>
      <c r="F130" s="15"/>
      <c r="G130" s="15"/>
      <c r="H130" s="15"/>
      <c r="I130" s="9">
        <f t="shared" si="2"/>
        <v>0</v>
      </c>
    </row>
    <row r="131" spans="1:9" ht="21" customHeight="1" thickBot="1">
      <c r="A131" s="10" t="s">
        <v>0</v>
      </c>
      <c r="B131" s="24"/>
      <c r="C131" s="24"/>
      <c r="D131" s="13"/>
      <c r="E131" s="13"/>
      <c r="F131" s="34"/>
      <c r="G131" s="34"/>
      <c r="H131" s="34"/>
      <c r="I131" s="38">
        <f>SUM(I8:I130)</f>
        <v>20860.40860000001</v>
      </c>
    </row>
    <row r="132" ht="13.5" thickTop="1"/>
  </sheetData>
  <sheetProtection/>
  <mergeCells count="3">
    <mergeCell ref="G2:I2"/>
    <mergeCell ref="H3:I3"/>
    <mergeCell ref="G4:I4"/>
  </mergeCells>
  <printOptions/>
  <pageMargins left="0.7" right="0.7" top="0.75" bottom="0.75" header="0.3" footer="0.3"/>
  <pageSetup fitToHeight="0" fitToWidth="1" horizontalDpi="1200" verticalDpi="1200" orientation="portrait" paperSize="9" scale="3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I131"/>
  <sheetViews>
    <sheetView zoomScalePageLayoutView="0" workbookViewId="0" topLeftCell="A127">
      <selection activeCell="A54" sqref="A54:IV56"/>
    </sheetView>
  </sheetViews>
  <sheetFormatPr defaultColWidth="11.421875" defaultRowHeight="12.75"/>
  <cols>
    <col min="2" max="2" width="92.421875" style="0" customWidth="1"/>
    <col min="3" max="3" width="105.00390625" style="0" customWidth="1"/>
    <col min="4" max="4" width="22.421875" style="0" customWidth="1"/>
    <col min="5" max="5" width="33.57421875" style="0" hidden="1" customWidth="1"/>
    <col min="6" max="6" width="16.140625" style="0" customWidth="1"/>
    <col min="7" max="7" width="15.421875" style="0" customWidth="1"/>
    <col min="8" max="8" width="14.140625" style="0" customWidth="1"/>
    <col min="9" max="9" width="16.7109375" style="0" customWidth="1"/>
  </cols>
  <sheetData>
    <row r="1" spans="1:9" ht="12.75">
      <c r="A1" s="52"/>
      <c r="B1" s="54"/>
      <c r="C1" s="54"/>
      <c r="D1" s="1"/>
      <c r="E1" s="1"/>
      <c r="F1" s="52"/>
      <c r="G1" s="52"/>
      <c r="H1" s="52"/>
      <c r="I1" s="52"/>
    </row>
    <row r="2" spans="1:9" ht="54" customHeight="1">
      <c r="A2" s="52"/>
      <c r="B2" s="54"/>
      <c r="C2" s="54"/>
      <c r="D2" s="1"/>
      <c r="E2" s="1"/>
      <c r="F2" s="101" t="s">
        <v>116</v>
      </c>
      <c r="G2" s="101"/>
      <c r="H2" s="101"/>
      <c r="I2" s="101"/>
    </row>
    <row r="3" spans="1:9" ht="18">
      <c r="A3" s="52"/>
      <c r="B3" s="54"/>
      <c r="C3" s="54"/>
      <c r="D3" s="1"/>
      <c r="E3" s="1"/>
      <c r="F3" s="52"/>
      <c r="G3" s="100"/>
      <c r="H3" s="100"/>
      <c r="I3" s="100"/>
    </row>
    <row r="4" spans="1:9" ht="26.25" customHeight="1">
      <c r="A4" s="52"/>
      <c r="B4" s="54"/>
      <c r="C4" s="54"/>
      <c r="D4" s="1"/>
      <c r="E4" s="1"/>
      <c r="F4" s="99" t="s">
        <v>284</v>
      </c>
      <c r="G4" s="99"/>
      <c r="H4" s="99"/>
      <c r="I4" s="99"/>
    </row>
    <row r="5" spans="1:9" ht="12.75">
      <c r="A5" s="52"/>
      <c r="B5" s="54"/>
      <c r="C5" s="54"/>
      <c r="D5" s="1"/>
      <c r="E5" s="1"/>
      <c r="F5" s="52"/>
      <c r="G5" s="52"/>
      <c r="H5" s="52"/>
      <c r="I5" s="52"/>
    </row>
    <row r="6" spans="1:9" ht="13.5" thickBot="1">
      <c r="A6" s="55"/>
      <c r="B6" s="56"/>
      <c r="C6" s="56"/>
      <c r="D6" s="3"/>
      <c r="E6" s="3"/>
      <c r="F6" s="55"/>
      <c r="G6" s="55"/>
      <c r="H6" s="55"/>
      <c r="I6" s="52"/>
    </row>
    <row r="7" spans="1:9" ht="21" customHeight="1" thickTop="1">
      <c r="A7" s="57" t="s">
        <v>1</v>
      </c>
      <c r="B7" s="58" t="s">
        <v>3</v>
      </c>
      <c r="C7" s="23" t="s">
        <v>285</v>
      </c>
      <c r="D7" s="11" t="s">
        <v>2</v>
      </c>
      <c r="E7" s="11" t="s">
        <v>11</v>
      </c>
      <c r="F7" s="59" t="s">
        <v>4</v>
      </c>
      <c r="G7" s="59" t="s">
        <v>5</v>
      </c>
      <c r="H7" s="73" t="s">
        <v>13</v>
      </c>
      <c r="I7" s="53" t="s">
        <v>0</v>
      </c>
    </row>
    <row r="8" spans="1:9" ht="21" customHeight="1">
      <c r="A8" s="60"/>
      <c r="B8" s="72" t="s">
        <v>15</v>
      </c>
      <c r="C8" s="72" t="s">
        <v>316</v>
      </c>
      <c r="D8" s="12">
        <v>83006884161</v>
      </c>
      <c r="E8" s="30" t="s">
        <v>16</v>
      </c>
      <c r="F8" s="46">
        <v>1081</v>
      </c>
      <c r="G8" s="46">
        <v>1605</v>
      </c>
      <c r="H8" s="74">
        <v>0</v>
      </c>
      <c r="I8" s="51">
        <f>F8+G8+H8</f>
        <v>2686</v>
      </c>
    </row>
    <row r="9" spans="1:9" ht="21" customHeight="1">
      <c r="A9" s="60"/>
      <c r="B9" s="26" t="s">
        <v>17</v>
      </c>
      <c r="C9" s="26" t="s">
        <v>314</v>
      </c>
      <c r="D9" s="12">
        <v>83001699293</v>
      </c>
      <c r="E9" s="30" t="s">
        <v>19</v>
      </c>
      <c r="F9" s="46">
        <v>1286</v>
      </c>
      <c r="G9" s="46">
        <v>0</v>
      </c>
      <c r="H9" s="74">
        <v>0</v>
      </c>
      <c r="I9" s="51">
        <f aca="true" t="shared" si="0" ref="I9:I59">F9+G9+H9</f>
        <v>1286</v>
      </c>
    </row>
    <row r="10" spans="1:9" ht="21" customHeight="1">
      <c r="A10" s="60"/>
      <c r="B10" s="26" t="s">
        <v>18</v>
      </c>
      <c r="C10" s="26" t="s">
        <v>324</v>
      </c>
      <c r="D10" s="12">
        <v>83002793469</v>
      </c>
      <c r="E10" s="30" t="s">
        <v>20</v>
      </c>
      <c r="F10" s="46">
        <v>218</v>
      </c>
      <c r="G10" s="46">
        <v>2202</v>
      </c>
      <c r="H10" s="74">
        <v>398</v>
      </c>
      <c r="I10" s="51">
        <f t="shared" si="0"/>
        <v>2818</v>
      </c>
    </row>
    <row r="11" spans="1:9" ht="21" customHeight="1">
      <c r="A11" s="60"/>
      <c r="B11" s="26" t="s">
        <v>21</v>
      </c>
      <c r="C11" s="26" t="s">
        <v>365</v>
      </c>
      <c r="D11" s="12">
        <v>83005319585</v>
      </c>
      <c r="E11" s="30" t="s">
        <v>22</v>
      </c>
      <c r="F11" s="46">
        <v>145</v>
      </c>
      <c r="G11" s="46">
        <v>344</v>
      </c>
      <c r="H11" s="74">
        <v>126</v>
      </c>
      <c r="I11" s="51">
        <f t="shared" si="0"/>
        <v>615</v>
      </c>
    </row>
    <row r="12" spans="1:9" ht="21" customHeight="1">
      <c r="A12" s="60"/>
      <c r="B12" s="26" t="s">
        <v>23</v>
      </c>
      <c r="C12" s="26" t="s">
        <v>325</v>
      </c>
      <c r="D12" s="61">
        <v>999395654431</v>
      </c>
      <c r="E12" s="30" t="s">
        <v>24</v>
      </c>
      <c r="F12" s="46">
        <v>470</v>
      </c>
      <c r="G12" s="46">
        <v>2114</v>
      </c>
      <c r="H12" s="74">
        <v>1445</v>
      </c>
      <c r="I12" s="51">
        <f t="shared" si="0"/>
        <v>4029</v>
      </c>
    </row>
    <row r="13" spans="1:9" ht="21" customHeight="1">
      <c r="A13" s="60"/>
      <c r="B13" s="26" t="s">
        <v>25</v>
      </c>
      <c r="C13" s="26" t="s">
        <v>315</v>
      </c>
      <c r="D13" s="61">
        <v>999395655454</v>
      </c>
      <c r="E13" s="30" t="s">
        <v>26</v>
      </c>
      <c r="F13" s="46">
        <v>583</v>
      </c>
      <c r="G13" s="46">
        <v>1827</v>
      </c>
      <c r="H13" s="74">
        <v>242</v>
      </c>
      <c r="I13" s="51">
        <f t="shared" si="0"/>
        <v>2652</v>
      </c>
    </row>
    <row r="14" spans="1:9" ht="21" customHeight="1">
      <c r="A14" s="60"/>
      <c r="B14" s="26" t="s">
        <v>27</v>
      </c>
      <c r="C14" s="26" t="s">
        <v>326</v>
      </c>
      <c r="D14" s="61">
        <v>512012286</v>
      </c>
      <c r="E14" s="30" t="s">
        <v>28</v>
      </c>
      <c r="F14" s="46">
        <v>232</v>
      </c>
      <c r="G14" s="46">
        <v>1055</v>
      </c>
      <c r="H14" s="74">
        <v>376</v>
      </c>
      <c r="I14" s="51">
        <f t="shared" si="0"/>
        <v>1663</v>
      </c>
    </row>
    <row r="15" spans="1:9" ht="21" customHeight="1">
      <c r="A15" s="60"/>
      <c r="B15" s="26" t="s">
        <v>29</v>
      </c>
      <c r="C15" s="26" t="s">
        <v>327</v>
      </c>
      <c r="D15" s="61">
        <v>999395659634</v>
      </c>
      <c r="E15" s="30" t="s">
        <v>30</v>
      </c>
      <c r="F15" s="46">
        <v>209</v>
      </c>
      <c r="G15" s="46">
        <v>622</v>
      </c>
      <c r="H15" s="74">
        <v>372</v>
      </c>
      <c r="I15" s="51">
        <f t="shared" si="0"/>
        <v>1203</v>
      </c>
    </row>
    <row r="16" spans="1:9" ht="21" customHeight="1">
      <c r="A16" s="60"/>
      <c r="B16" s="26" t="s">
        <v>31</v>
      </c>
      <c r="C16" s="26" t="s">
        <v>317</v>
      </c>
      <c r="D16" s="61">
        <v>999395660462</v>
      </c>
      <c r="E16" s="30" t="s">
        <v>32</v>
      </c>
      <c r="F16" s="46">
        <v>2325</v>
      </c>
      <c r="G16" s="46">
        <v>4725</v>
      </c>
      <c r="H16" s="74">
        <v>2441</v>
      </c>
      <c r="I16" s="51">
        <f t="shared" si="0"/>
        <v>9491</v>
      </c>
    </row>
    <row r="17" spans="1:9" ht="21" customHeight="1">
      <c r="A17" s="60"/>
      <c r="B17" s="26" t="s">
        <v>33</v>
      </c>
      <c r="C17" s="26" t="s">
        <v>366</v>
      </c>
      <c r="D17" s="61">
        <v>999395662284</v>
      </c>
      <c r="E17" s="30" t="s">
        <v>34</v>
      </c>
      <c r="F17" s="46"/>
      <c r="G17" s="46"/>
      <c r="H17" s="74"/>
      <c r="I17" s="51">
        <f t="shared" si="0"/>
        <v>0</v>
      </c>
    </row>
    <row r="18" spans="1:9" ht="21" customHeight="1">
      <c r="A18" s="60"/>
      <c r="B18" s="26" t="s">
        <v>35</v>
      </c>
      <c r="C18" s="26" t="s">
        <v>292</v>
      </c>
      <c r="D18" s="61">
        <v>999395662947</v>
      </c>
      <c r="E18" s="30" t="s">
        <v>36</v>
      </c>
      <c r="F18" s="46">
        <v>756</v>
      </c>
      <c r="G18" s="46">
        <v>941</v>
      </c>
      <c r="H18" s="74">
        <v>257</v>
      </c>
      <c r="I18" s="51">
        <f t="shared" si="0"/>
        <v>1954</v>
      </c>
    </row>
    <row r="19" spans="1:9" ht="21" customHeight="1">
      <c r="A19" s="60"/>
      <c r="B19" s="26" t="s">
        <v>37</v>
      </c>
      <c r="C19" s="26" t="s">
        <v>369</v>
      </c>
      <c r="D19" s="61">
        <v>999395663410</v>
      </c>
      <c r="E19" s="30" t="s">
        <v>38</v>
      </c>
      <c r="F19" s="46">
        <v>573</v>
      </c>
      <c r="G19" s="46">
        <v>720</v>
      </c>
      <c r="H19" s="74">
        <v>266</v>
      </c>
      <c r="I19" s="51">
        <f t="shared" si="0"/>
        <v>1559</v>
      </c>
    </row>
    <row r="20" spans="1:9" ht="21" customHeight="1">
      <c r="A20" s="60"/>
      <c r="B20" s="26" t="s">
        <v>39</v>
      </c>
      <c r="C20" s="26" t="s">
        <v>293</v>
      </c>
      <c r="D20" s="61">
        <v>999395665004</v>
      </c>
      <c r="E20" s="30" t="s">
        <v>40</v>
      </c>
      <c r="F20" s="46">
        <v>852</v>
      </c>
      <c r="G20" s="46">
        <v>2972</v>
      </c>
      <c r="H20" s="74">
        <v>1019</v>
      </c>
      <c r="I20" s="51">
        <f t="shared" si="0"/>
        <v>4843</v>
      </c>
    </row>
    <row r="21" spans="1:9" ht="21" customHeight="1">
      <c r="A21" s="60"/>
      <c r="B21" s="26" t="s">
        <v>41</v>
      </c>
      <c r="C21" s="26" t="s">
        <v>367</v>
      </c>
      <c r="D21" s="61">
        <v>999395665500</v>
      </c>
      <c r="E21" s="30" t="s">
        <v>42</v>
      </c>
      <c r="F21" s="46">
        <v>490</v>
      </c>
      <c r="G21" s="46">
        <v>1532</v>
      </c>
      <c r="H21" s="74">
        <v>683</v>
      </c>
      <c r="I21" s="51">
        <f t="shared" si="0"/>
        <v>2705</v>
      </c>
    </row>
    <row r="22" spans="1:9" ht="21" customHeight="1">
      <c r="A22" s="60"/>
      <c r="B22" s="26" t="s">
        <v>43</v>
      </c>
      <c r="C22" s="93"/>
      <c r="D22" s="61">
        <v>999395674678</v>
      </c>
      <c r="E22" s="30" t="s">
        <v>44</v>
      </c>
      <c r="F22" s="46">
        <v>0</v>
      </c>
      <c r="G22" s="46">
        <v>347</v>
      </c>
      <c r="H22" s="74">
        <v>115</v>
      </c>
      <c r="I22" s="51">
        <f t="shared" si="0"/>
        <v>462</v>
      </c>
    </row>
    <row r="23" spans="1:9" ht="21" customHeight="1">
      <c r="A23" s="60"/>
      <c r="B23" s="26" t="s">
        <v>45</v>
      </c>
      <c r="C23" s="26" t="s">
        <v>307</v>
      </c>
      <c r="D23" s="61">
        <v>999395675751</v>
      </c>
      <c r="E23" s="30" t="s">
        <v>46</v>
      </c>
      <c r="F23" s="46">
        <v>886</v>
      </c>
      <c r="G23" s="46">
        <v>1805</v>
      </c>
      <c r="H23" s="74">
        <v>394</v>
      </c>
      <c r="I23" s="51">
        <f t="shared" si="0"/>
        <v>3085</v>
      </c>
    </row>
    <row r="24" spans="1:9" ht="21" customHeight="1">
      <c r="A24" s="60"/>
      <c r="B24" s="26" t="s">
        <v>47</v>
      </c>
      <c r="C24" s="26" t="s">
        <v>318</v>
      </c>
      <c r="D24" s="61">
        <v>999395676257</v>
      </c>
      <c r="E24" s="30" t="s">
        <v>48</v>
      </c>
      <c r="F24" s="46">
        <v>140</v>
      </c>
      <c r="G24" s="46">
        <v>202</v>
      </c>
      <c r="H24" s="74">
        <v>88</v>
      </c>
      <c r="I24" s="51">
        <f t="shared" si="0"/>
        <v>430</v>
      </c>
    </row>
    <row r="25" spans="1:9" ht="21" customHeight="1">
      <c r="A25" s="60"/>
      <c r="B25" s="26" t="s">
        <v>49</v>
      </c>
      <c r="C25" s="26" t="s">
        <v>328</v>
      </c>
      <c r="D25" s="61">
        <v>999395676905</v>
      </c>
      <c r="E25" s="30" t="s">
        <v>50</v>
      </c>
      <c r="F25" s="46">
        <v>142</v>
      </c>
      <c r="G25" s="46">
        <v>365</v>
      </c>
      <c r="H25" s="74">
        <v>81</v>
      </c>
      <c r="I25" s="51">
        <f t="shared" si="0"/>
        <v>588</v>
      </c>
    </row>
    <row r="26" spans="1:9" ht="21" customHeight="1">
      <c r="A26" s="60"/>
      <c r="B26" s="26" t="s">
        <v>51</v>
      </c>
      <c r="C26" s="93"/>
      <c r="D26" s="61">
        <v>999395677339</v>
      </c>
      <c r="E26" s="30" t="s">
        <v>52</v>
      </c>
      <c r="F26" s="46">
        <v>862</v>
      </c>
      <c r="G26" s="46">
        <v>1431</v>
      </c>
      <c r="H26" s="74">
        <v>113</v>
      </c>
      <c r="I26" s="51">
        <f t="shared" si="0"/>
        <v>2406</v>
      </c>
    </row>
    <row r="27" spans="1:9" ht="21" customHeight="1">
      <c r="A27" s="60"/>
      <c r="B27" s="26" t="s">
        <v>53</v>
      </c>
      <c r="C27" s="93"/>
      <c r="D27" s="61">
        <v>999395680029</v>
      </c>
      <c r="E27" s="30" t="s">
        <v>54</v>
      </c>
      <c r="F27" s="46">
        <v>467</v>
      </c>
      <c r="G27" s="46">
        <v>799</v>
      </c>
      <c r="H27" s="74">
        <v>0</v>
      </c>
      <c r="I27" s="51">
        <f t="shared" si="0"/>
        <v>1266</v>
      </c>
    </row>
    <row r="28" spans="1:9" ht="21" customHeight="1">
      <c r="A28" s="60"/>
      <c r="B28" s="26" t="s">
        <v>55</v>
      </c>
      <c r="C28" s="26" t="s">
        <v>294</v>
      </c>
      <c r="D28" s="61">
        <v>999395682858</v>
      </c>
      <c r="E28" s="30" t="s">
        <v>56</v>
      </c>
      <c r="F28" s="46">
        <v>730</v>
      </c>
      <c r="G28" s="46">
        <v>1499</v>
      </c>
      <c r="H28" s="74">
        <v>533</v>
      </c>
      <c r="I28" s="51">
        <f t="shared" si="0"/>
        <v>2762</v>
      </c>
    </row>
    <row r="29" spans="1:9" ht="21" customHeight="1">
      <c r="A29" s="60"/>
      <c r="B29" s="26" t="s">
        <v>57</v>
      </c>
      <c r="C29" s="26" t="s">
        <v>295</v>
      </c>
      <c r="D29" s="12">
        <v>512095448</v>
      </c>
      <c r="E29" s="30" t="s">
        <v>58</v>
      </c>
      <c r="F29" s="46">
        <v>1442</v>
      </c>
      <c r="G29" s="46">
        <v>3068</v>
      </c>
      <c r="H29" s="74">
        <v>736</v>
      </c>
      <c r="I29" s="51">
        <f t="shared" si="0"/>
        <v>5246</v>
      </c>
    </row>
    <row r="30" spans="1:9" ht="21" customHeight="1">
      <c r="A30" s="60"/>
      <c r="B30" s="26" t="s">
        <v>59</v>
      </c>
      <c r="C30" s="26" t="s">
        <v>296</v>
      </c>
      <c r="D30" s="61">
        <v>999395695033</v>
      </c>
      <c r="E30" s="30" t="s">
        <v>60</v>
      </c>
      <c r="F30" s="46">
        <v>1638</v>
      </c>
      <c r="G30" s="46">
        <v>0</v>
      </c>
      <c r="H30" s="74">
        <v>0</v>
      </c>
      <c r="I30" s="51">
        <f t="shared" si="0"/>
        <v>1638</v>
      </c>
    </row>
    <row r="31" spans="1:9" ht="21" customHeight="1">
      <c r="A31" s="60"/>
      <c r="B31" s="26" t="s">
        <v>61</v>
      </c>
      <c r="C31" s="26" t="s">
        <v>296</v>
      </c>
      <c r="D31" s="61">
        <v>999395696742</v>
      </c>
      <c r="E31" s="30" t="s">
        <v>62</v>
      </c>
      <c r="F31" s="46"/>
      <c r="G31" s="46"/>
      <c r="H31" s="74"/>
      <c r="I31" s="51">
        <f t="shared" si="0"/>
        <v>0</v>
      </c>
    </row>
    <row r="32" spans="1:9" ht="21" customHeight="1">
      <c r="A32" s="60"/>
      <c r="B32" s="26" t="s">
        <v>63</v>
      </c>
      <c r="C32" s="26" t="s">
        <v>308</v>
      </c>
      <c r="D32" s="61">
        <v>999395697615</v>
      </c>
      <c r="E32" s="30" t="s">
        <v>64</v>
      </c>
      <c r="F32" s="46">
        <f>5155/2</f>
        <v>2577.5</v>
      </c>
      <c r="G32" s="46">
        <v>0</v>
      </c>
      <c r="H32" s="74">
        <v>0</v>
      </c>
      <c r="I32" s="51">
        <f t="shared" si="0"/>
        <v>2577.5</v>
      </c>
    </row>
    <row r="33" spans="1:9" ht="21" customHeight="1">
      <c r="A33" s="60"/>
      <c r="B33" s="26" t="s">
        <v>65</v>
      </c>
      <c r="C33" s="26" t="s">
        <v>297</v>
      </c>
      <c r="D33" s="61">
        <v>999395698321</v>
      </c>
      <c r="E33" s="30" t="s">
        <v>66</v>
      </c>
      <c r="F33" s="46"/>
      <c r="G33" s="46"/>
      <c r="H33" s="74"/>
      <c r="I33" s="51">
        <f t="shared" si="0"/>
        <v>0</v>
      </c>
    </row>
    <row r="34" spans="1:9" ht="21" customHeight="1">
      <c r="A34" s="60"/>
      <c r="B34" s="26" t="s">
        <v>67</v>
      </c>
      <c r="C34" s="26" t="s">
        <v>309</v>
      </c>
      <c r="D34" s="62">
        <v>999395698661</v>
      </c>
      <c r="E34" s="31" t="s">
        <v>68</v>
      </c>
      <c r="F34" s="47">
        <f>1933/2</f>
        <v>966.5</v>
      </c>
      <c r="G34" s="47">
        <v>0</v>
      </c>
      <c r="H34" s="75">
        <v>0</v>
      </c>
      <c r="I34" s="51">
        <f t="shared" si="0"/>
        <v>966.5</v>
      </c>
    </row>
    <row r="35" spans="1:9" ht="21" customHeight="1">
      <c r="A35" s="60"/>
      <c r="B35" s="26" t="s">
        <v>69</v>
      </c>
      <c r="C35" s="26"/>
      <c r="D35" s="61">
        <v>999395699042</v>
      </c>
      <c r="E35" s="30" t="s">
        <v>70</v>
      </c>
      <c r="F35" s="46">
        <v>3132.5</v>
      </c>
      <c r="G35" s="46">
        <v>0</v>
      </c>
      <c r="H35" s="74">
        <v>0</v>
      </c>
      <c r="I35" s="51">
        <f t="shared" si="0"/>
        <v>3132.5</v>
      </c>
    </row>
    <row r="36" spans="1:9" ht="21" customHeight="1">
      <c r="A36" s="60"/>
      <c r="B36" s="26" t="s">
        <v>71</v>
      </c>
      <c r="C36" s="93"/>
      <c r="D36" s="61">
        <v>999395699192</v>
      </c>
      <c r="E36" s="30" t="s">
        <v>72</v>
      </c>
      <c r="F36" s="47">
        <f>2816/2</f>
        <v>1408</v>
      </c>
      <c r="G36" s="47">
        <v>0</v>
      </c>
      <c r="H36" s="75">
        <v>0</v>
      </c>
      <c r="I36" s="92">
        <f t="shared" si="0"/>
        <v>1408</v>
      </c>
    </row>
    <row r="37" spans="1:9" ht="21" customHeight="1">
      <c r="A37" s="60"/>
      <c r="B37" s="26" t="s">
        <v>73</v>
      </c>
      <c r="C37" s="93"/>
      <c r="D37" s="61">
        <v>999395699382</v>
      </c>
      <c r="E37" s="30" t="s">
        <v>74</v>
      </c>
      <c r="F37" s="46">
        <f>3189/2</f>
        <v>1594.5</v>
      </c>
      <c r="G37" s="46">
        <v>0</v>
      </c>
      <c r="H37" s="74">
        <v>0</v>
      </c>
      <c r="I37" s="51">
        <f t="shared" si="0"/>
        <v>1594.5</v>
      </c>
    </row>
    <row r="38" spans="1:9" ht="21" customHeight="1">
      <c r="A38" s="60"/>
      <c r="B38" s="26" t="s">
        <v>75</v>
      </c>
      <c r="C38" s="26" t="s">
        <v>298</v>
      </c>
      <c r="D38" s="61">
        <v>999395699631</v>
      </c>
      <c r="E38" s="30" t="s">
        <v>76</v>
      </c>
      <c r="F38" s="46">
        <f>335/2</f>
        <v>167.5</v>
      </c>
      <c r="G38" s="46">
        <v>0</v>
      </c>
      <c r="H38" s="74">
        <v>0</v>
      </c>
      <c r="I38" s="51">
        <f t="shared" si="0"/>
        <v>167.5</v>
      </c>
    </row>
    <row r="39" spans="1:9" ht="21" customHeight="1">
      <c r="A39" s="60"/>
      <c r="B39" s="26" t="s">
        <v>77</v>
      </c>
      <c r="C39" s="93"/>
      <c r="D39" s="61">
        <v>999395699855</v>
      </c>
      <c r="E39" s="30" t="s">
        <v>78</v>
      </c>
      <c r="F39" s="46">
        <f>1352/2</f>
        <v>676</v>
      </c>
      <c r="G39" s="46">
        <v>0</v>
      </c>
      <c r="H39" s="74">
        <v>0</v>
      </c>
      <c r="I39" s="51">
        <f t="shared" si="0"/>
        <v>676</v>
      </c>
    </row>
    <row r="40" spans="1:9" ht="21" customHeight="1">
      <c r="A40" s="60"/>
      <c r="B40" s="26" t="s">
        <v>79</v>
      </c>
      <c r="C40" s="26" t="s">
        <v>299</v>
      </c>
      <c r="D40" s="61">
        <v>999395699914</v>
      </c>
      <c r="E40" s="30" t="s">
        <v>80</v>
      </c>
      <c r="F40" s="46">
        <f>3489/2</f>
        <v>1744.5</v>
      </c>
      <c r="G40" s="46">
        <v>0</v>
      </c>
      <c r="H40" s="74">
        <v>0</v>
      </c>
      <c r="I40" s="51">
        <f t="shared" si="0"/>
        <v>1744.5</v>
      </c>
    </row>
    <row r="41" spans="1:9" ht="21" customHeight="1">
      <c r="A41" s="60"/>
      <c r="B41" s="26" t="s">
        <v>81</v>
      </c>
      <c r="C41" s="26" t="s">
        <v>329</v>
      </c>
      <c r="D41" s="61">
        <v>999395720675</v>
      </c>
      <c r="E41" s="30" t="s">
        <v>82</v>
      </c>
      <c r="F41" s="46">
        <f>6148/2</f>
        <v>3074</v>
      </c>
      <c r="G41" s="46">
        <v>0</v>
      </c>
      <c r="H41" s="74">
        <v>0</v>
      </c>
      <c r="I41" s="51">
        <f t="shared" si="0"/>
        <v>3074</v>
      </c>
    </row>
    <row r="42" spans="1:9" ht="21" customHeight="1">
      <c r="A42" s="60"/>
      <c r="B42" s="26" t="s">
        <v>83</v>
      </c>
      <c r="C42" s="26" t="s">
        <v>300</v>
      </c>
      <c r="D42" s="61">
        <v>999395721493</v>
      </c>
      <c r="E42" s="30" t="s">
        <v>84</v>
      </c>
      <c r="F42" s="46"/>
      <c r="G42" s="46"/>
      <c r="H42" s="74"/>
      <c r="I42" s="51">
        <f t="shared" si="0"/>
        <v>0</v>
      </c>
    </row>
    <row r="43" spans="1:9" ht="21" customHeight="1">
      <c r="A43" s="60"/>
      <c r="B43" s="26" t="s">
        <v>85</v>
      </c>
      <c r="C43" s="26"/>
      <c r="D43" s="61">
        <v>999395728957</v>
      </c>
      <c r="E43" s="30" t="s">
        <v>86</v>
      </c>
      <c r="F43" s="46">
        <f>337/2</f>
        <v>168.5</v>
      </c>
      <c r="G43" s="46">
        <v>0</v>
      </c>
      <c r="H43" s="74">
        <v>0</v>
      </c>
      <c r="I43" s="51">
        <f t="shared" si="0"/>
        <v>168.5</v>
      </c>
    </row>
    <row r="44" spans="1:9" ht="21" customHeight="1">
      <c r="A44" s="60"/>
      <c r="B44" s="26" t="s">
        <v>87</v>
      </c>
      <c r="C44" s="26" t="s">
        <v>330</v>
      </c>
      <c r="D44" s="61">
        <v>999395729357</v>
      </c>
      <c r="E44" s="30" t="s">
        <v>88</v>
      </c>
      <c r="F44" s="46">
        <f>922/2</f>
        <v>461</v>
      </c>
      <c r="G44" s="46">
        <v>0</v>
      </c>
      <c r="H44" s="74">
        <v>0</v>
      </c>
      <c r="I44" s="51">
        <f t="shared" si="0"/>
        <v>461</v>
      </c>
    </row>
    <row r="45" spans="1:9" ht="21" customHeight="1">
      <c r="A45" s="60"/>
      <c r="B45" s="26" t="s">
        <v>89</v>
      </c>
      <c r="C45" s="93"/>
      <c r="D45" s="61">
        <v>999395729815</v>
      </c>
      <c r="E45" s="30" t="s">
        <v>90</v>
      </c>
      <c r="F45" s="46">
        <f>1018/2</f>
        <v>509</v>
      </c>
      <c r="G45" s="46">
        <v>0</v>
      </c>
      <c r="H45" s="74">
        <v>0</v>
      </c>
      <c r="I45" s="51">
        <f t="shared" si="0"/>
        <v>509</v>
      </c>
    </row>
    <row r="46" spans="1:9" ht="21" customHeight="1">
      <c r="A46" s="60"/>
      <c r="B46" s="26" t="s">
        <v>94</v>
      </c>
      <c r="C46" s="26" t="s">
        <v>331</v>
      </c>
      <c r="D46" s="61">
        <v>999395730546</v>
      </c>
      <c r="E46" s="30" t="s">
        <v>91</v>
      </c>
      <c r="F46" s="46">
        <f>19/2</f>
        <v>9.5</v>
      </c>
      <c r="G46" s="46">
        <v>0</v>
      </c>
      <c r="H46" s="74">
        <v>0</v>
      </c>
      <c r="I46" s="51">
        <f t="shared" si="0"/>
        <v>9.5</v>
      </c>
    </row>
    <row r="47" spans="1:9" ht="21" customHeight="1">
      <c r="A47" s="60"/>
      <c r="B47" s="26" t="s">
        <v>92</v>
      </c>
      <c r="C47" s="26" t="s">
        <v>319</v>
      </c>
      <c r="D47" s="61">
        <v>999395731005</v>
      </c>
      <c r="E47" s="37" t="s">
        <v>93</v>
      </c>
      <c r="F47" s="46">
        <f>1766/2</f>
        <v>883</v>
      </c>
      <c r="G47" s="46">
        <v>0</v>
      </c>
      <c r="H47" s="74">
        <v>0</v>
      </c>
      <c r="I47" s="51">
        <f t="shared" si="0"/>
        <v>883</v>
      </c>
    </row>
    <row r="48" spans="1:9" ht="21" customHeight="1">
      <c r="A48" s="60"/>
      <c r="B48" s="26" t="s">
        <v>95</v>
      </c>
      <c r="C48" s="93"/>
      <c r="D48" s="61">
        <v>999395731797</v>
      </c>
      <c r="E48" s="30" t="s">
        <v>96</v>
      </c>
      <c r="F48" s="46">
        <f>1657/2</f>
        <v>828.5</v>
      </c>
      <c r="G48" s="46">
        <v>0</v>
      </c>
      <c r="H48" s="74">
        <v>0</v>
      </c>
      <c r="I48" s="51">
        <f t="shared" si="0"/>
        <v>828.5</v>
      </c>
    </row>
    <row r="49" spans="1:9" ht="21" customHeight="1">
      <c r="A49" s="60"/>
      <c r="B49" s="26" t="s">
        <v>97</v>
      </c>
      <c r="C49" s="26"/>
      <c r="D49" s="61">
        <v>999395850272</v>
      </c>
      <c r="E49" s="30" t="s">
        <v>98</v>
      </c>
      <c r="F49" s="46">
        <v>2</v>
      </c>
      <c r="G49" s="46">
        <v>1562</v>
      </c>
      <c r="H49" s="74">
        <v>3285</v>
      </c>
      <c r="I49" s="51">
        <f t="shared" si="0"/>
        <v>4849</v>
      </c>
    </row>
    <row r="50" spans="1:9" ht="21" customHeight="1">
      <c r="A50" s="60"/>
      <c r="B50" s="26" t="s">
        <v>99</v>
      </c>
      <c r="C50" s="93"/>
      <c r="D50" s="61">
        <v>999395869847</v>
      </c>
      <c r="E50" s="30" t="s">
        <v>100</v>
      </c>
      <c r="F50" s="46">
        <v>491</v>
      </c>
      <c r="G50" s="46">
        <v>1854</v>
      </c>
      <c r="H50" s="74">
        <v>0</v>
      </c>
      <c r="I50" s="51">
        <f t="shared" si="0"/>
        <v>2345</v>
      </c>
    </row>
    <row r="51" spans="1:9" ht="21" customHeight="1">
      <c r="A51" s="60"/>
      <c r="B51" s="26" t="s">
        <v>101</v>
      </c>
      <c r="C51" s="26" t="s">
        <v>371</v>
      </c>
      <c r="D51" s="12">
        <v>83007836944</v>
      </c>
      <c r="E51" s="30" t="s">
        <v>102</v>
      </c>
      <c r="F51" s="46">
        <f>710/2</f>
        <v>355</v>
      </c>
      <c r="G51" s="46">
        <v>0</v>
      </c>
      <c r="H51" s="74">
        <v>0</v>
      </c>
      <c r="I51" s="51">
        <f t="shared" si="0"/>
        <v>355</v>
      </c>
    </row>
    <row r="52" spans="1:9" ht="21" customHeight="1">
      <c r="A52" s="60"/>
      <c r="B52" s="26" t="s">
        <v>103</v>
      </c>
      <c r="C52" s="26" t="s">
        <v>286</v>
      </c>
      <c r="D52" s="61">
        <v>999418107083</v>
      </c>
      <c r="E52" s="30" t="s">
        <v>104</v>
      </c>
      <c r="F52" s="46">
        <f>4250/2</f>
        <v>2125</v>
      </c>
      <c r="G52" s="46">
        <v>0</v>
      </c>
      <c r="H52" s="74">
        <v>0</v>
      </c>
      <c r="I52" s="51">
        <f t="shared" si="0"/>
        <v>2125</v>
      </c>
    </row>
    <row r="53" spans="1:9" ht="21" customHeight="1">
      <c r="A53" s="60"/>
      <c r="B53" s="26" t="s">
        <v>105</v>
      </c>
      <c r="C53" s="26" t="s">
        <v>332</v>
      </c>
      <c r="D53" s="61">
        <v>999418108530</v>
      </c>
      <c r="E53" s="30" t="s">
        <v>106</v>
      </c>
      <c r="F53" s="46">
        <v>213</v>
      </c>
      <c r="G53" s="46">
        <v>371</v>
      </c>
      <c r="H53" s="74">
        <v>75</v>
      </c>
      <c r="I53" s="51">
        <f t="shared" si="0"/>
        <v>659</v>
      </c>
    </row>
    <row r="54" spans="1:9" ht="21" customHeight="1">
      <c r="A54" s="60"/>
      <c r="B54" s="26" t="s">
        <v>107</v>
      </c>
      <c r="C54" s="26" t="s">
        <v>302</v>
      </c>
      <c r="D54" s="61">
        <v>999444028261</v>
      </c>
      <c r="E54" s="30" t="s">
        <v>108</v>
      </c>
      <c r="F54" s="46">
        <v>14</v>
      </c>
      <c r="G54" s="46">
        <v>38</v>
      </c>
      <c r="H54" s="74">
        <v>27</v>
      </c>
      <c r="I54" s="51">
        <f t="shared" si="0"/>
        <v>79</v>
      </c>
    </row>
    <row r="55" spans="1:9" ht="21" customHeight="1">
      <c r="A55" s="60"/>
      <c r="B55" s="26" t="s">
        <v>109</v>
      </c>
      <c r="C55" s="26" t="s">
        <v>313</v>
      </c>
      <c r="D55" s="12">
        <v>83000769293</v>
      </c>
      <c r="E55" s="30" t="s">
        <v>110</v>
      </c>
      <c r="F55" s="46">
        <v>228</v>
      </c>
      <c r="G55" s="46">
        <v>783</v>
      </c>
      <c r="H55" s="74">
        <v>159</v>
      </c>
      <c r="I55" s="51">
        <f t="shared" si="0"/>
        <v>1170</v>
      </c>
    </row>
    <row r="56" spans="1:9" ht="21" customHeight="1">
      <c r="A56" s="60"/>
      <c r="B56" s="35" t="s">
        <v>125</v>
      </c>
      <c r="C56" s="94"/>
      <c r="D56" s="36">
        <v>60006203645</v>
      </c>
      <c r="E56" s="37" t="s">
        <v>126</v>
      </c>
      <c r="F56" s="48">
        <v>46</v>
      </c>
      <c r="G56" s="46">
        <v>0</v>
      </c>
      <c r="H56" s="48">
        <v>0</v>
      </c>
      <c r="I56" s="51">
        <f t="shared" si="0"/>
        <v>46</v>
      </c>
    </row>
    <row r="57" spans="1:9" ht="21" customHeight="1">
      <c r="A57" s="60"/>
      <c r="B57" s="26" t="s">
        <v>127</v>
      </c>
      <c r="C57" s="93"/>
      <c r="D57" s="12">
        <v>60007966411</v>
      </c>
      <c r="E57" s="30" t="s">
        <v>128</v>
      </c>
      <c r="F57" s="46">
        <v>494</v>
      </c>
      <c r="G57" s="46">
        <v>0</v>
      </c>
      <c r="H57" s="74">
        <v>0</v>
      </c>
      <c r="I57" s="51">
        <f t="shared" si="0"/>
        <v>494</v>
      </c>
    </row>
    <row r="58" spans="1:9" ht="21" customHeight="1">
      <c r="A58" s="60"/>
      <c r="B58" s="26" t="s">
        <v>129</v>
      </c>
      <c r="C58" s="26" t="s">
        <v>289</v>
      </c>
      <c r="D58" s="12">
        <v>60006643135</v>
      </c>
      <c r="E58" s="30" t="s">
        <v>130</v>
      </c>
      <c r="F58" s="46">
        <f>670/2</f>
        <v>335</v>
      </c>
      <c r="G58" s="46">
        <v>0</v>
      </c>
      <c r="H58" s="74">
        <v>0</v>
      </c>
      <c r="I58" s="51">
        <f t="shared" si="0"/>
        <v>335</v>
      </c>
    </row>
    <row r="59" spans="1:9" ht="21" customHeight="1">
      <c r="A59" s="60"/>
      <c r="B59" s="26" t="s">
        <v>131</v>
      </c>
      <c r="C59" s="93"/>
      <c r="D59" s="12">
        <v>60007843244</v>
      </c>
      <c r="E59" s="30" t="s">
        <v>132</v>
      </c>
      <c r="F59" s="46">
        <f>831/2</f>
        <v>415.5</v>
      </c>
      <c r="G59" s="46">
        <v>0</v>
      </c>
      <c r="H59" s="74">
        <v>0</v>
      </c>
      <c r="I59" s="51">
        <f t="shared" si="0"/>
        <v>415.5</v>
      </c>
    </row>
    <row r="60" spans="1:9" ht="21" customHeight="1">
      <c r="A60" s="60"/>
      <c r="B60" s="26" t="s">
        <v>133</v>
      </c>
      <c r="C60" s="26" t="s">
        <v>322</v>
      </c>
      <c r="D60" s="12">
        <v>60007843069</v>
      </c>
      <c r="E60" s="30" t="s">
        <v>134</v>
      </c>
      <c r="F60" s="46">
        <f>460/2</f>
        <v>230</v>
      </c>
      <c r="G60" s="46">
        <v>0</v>
      </c>
      <c r="H60" s="74">
        <v>0</v>
      </c>
      <c r="I60" s="51">
        <f aca="true" t="shared" si="1" ref="I60:I120">F60+G60+H60</f>
        <v>230</v>
      </c>
    </row>
    <row r="61" spans="1:9" ht="21" customHeight="1">
      <c r="A61" s="60"/>
      <c r="B61" s="26" t="s">
        <v>135</v>
      </c>
      <c r="C61" s="26" t="s">
        <v>353</v>
      </c>
      <c r="D61" s="12">
        <v>60007843073</v>
      </c>
      <c r="E61" s="30" t="s">
        <v>136</v>
      </c>
      <c r="F61" s="46">
        <f>799/2</f>
        <v>399.5</v>
      </c>
      <c r="G61" s="46">
        <v>0</v>
      </c>
      <c r="H61" s="74">
        <v>0</v>
      </c>
      <c r="I61" s="51">
        <f t="shared" si="1"/>
        <v>399.5</v>
      </c>
    </row>
    <row r="62" spans="1:9" ht="21" customHeight="1">
      <c r="A62" s="60"/>
      <c r="B62" s="26" t="s">
        <v>137</v>
      </c>
      <c r="C62" s="93"/>
      <c r="D62" s="12">
        <v>60007843356</v>
      </c>
      <c r="E62" s="30" t="s">
        <v>138</v>
      </c>
      <c r="F62" s="46">
        <f>134/2</f>
        <v>67</v>
      </c>
      <c r="G62" s="46">
        <v>0</v>
      </c>
      <c r="H62" s="74">
        <v>0</v>
      </c>
      <c r="I62" s="51">
        <f t="shared" si="1"/>
        <v>67</v>
      </c>
    </row>
    <row r="63" spans="1:9" ht="21" customHeight="1">
      <c r="A63" s="60"/>
      <c r="B63" s="26" t="s">
        <v>139</v>
      </c>
      <c r="C63" s="93"/>
      <c r="D63" s="12">
        <v>60007847274</v>
      </c>
      <c r="E63" s="30" t="s">
        <v>140</v>
      </c>
      <c r="F63" s="46">
        <f>359/2</f>
        <v>179.5</v>
      </c>
      <c r="G63" s="46">
        <v>0</v>
      </c>
      <c r="H63" s="74">
        <v>0</v>
      </c>
      <c r="I63" s="51">
        <f t="shared" si="1"/>
        <v>179.5</v>
      </c>
    </row>
    <row r="64" spans="1:9" ht="21" customHeight="1">
      <c r="A64" s="60"/>
      <c r="B64" s="26" t="s">
        <v>141</v>
      </c>
      <c r="C64" s="93"/>
      <c r="D64" s="12">
        <v>60007847482</v>
      </c>
      <c r="E64" s="30" t="s">
        <v>142</v>
      </c>
      <c r="F64" s="46">
        <v>191</v>
      </c>
      <c r="G64" s="46">
        <v>0</v>
      </c>
      <c r="H64" s="74">
        <v>0</v>
      </c>
      <c r="I64" s="51">
        <f t="shared" si="1"/>
        <v>191</v>
      </c>
    </row>
    <row r="65" spans="1:9" ht="21" customHeight="1">
      <c r="A65" s="60"/>
      <c r="B65" s="26" t="s">
        <v>143</v>
      </c>
      <c r="C65" s="26" t="s">
        <v>323</v>
      </c>
      <c r="D65" s="12">
        <v>60007858040</v>
      </c>
      <c r="E65" s="90" t="s">
        <v>144</v>
      </c>
      <c r="F65" s="46">
        <v>35</v>
      </c>
      <c r="G65" s="46">
        <v>0</v>
      </c>
      <c r="H65" s="74">
        <v>0</v>
      </c>
      <c r="I65" s="51">
        <f t="shared" si="1"/>
        <v>35</v>
      </c>
    </row>
    <row r="66" spans="1:9" ht="21" customHeight="1">
      <c r="A66" s="60"/>
      <c r="B66" s="43" t="s">
        <v>145</v>
      </c>
      <c r="C66" s="43" t="s">
        <v>358</v>
      </c>
      <c r="D66" s="44">
        <v>60007889355</v>
      </c>
      <c r="E66" s="37" t="s">
        <v>146</v>
      </c>
      <c r="F66" s="46">
        <f>224/2</f>
        <v>112</v>
      </c>
      <c r="G66" s="46">
        <v>0</v>
      </c>
      <c r="H66" s="74">
        <v>0</v>
      </c>
      <c r="I66" s="51">
        <f t="shared" si="1"/>
        <v>112</v>
      </c>
    </row>
    <row r="67" spans="1:9" ht="21" customHeight="1">
      <c r="A67" s="60"/>
      <c r="B67" s="41" t="s">
        <v>147</v>
      </c>
      <c r="C67" s="41" t="s">
        <v>311</v>
      </c>
      <c r="D67" s="40">
        <v>60007899611</v>
      </c>
      <c r="E67" s="42" t="s">
        <v>148</v>
      </c>
      <c r="F67" s="47">
        <v>612</v>
      </c>
      <c r="G67" s="47">
        <v>0</v>
      </c>
      <c r="H67" s="75">
        <v>0</v>
      </c>
      <c r="I67" s="51">
        <f t="shared" si="1"/>
        <v>612</v>
      </c>
    </row>
    <row r="68" spans="1:9" ht="21" customHeight="1">
      <c r="A68" s="60"/>
      <c r="B68" s="26" t="s">
        <v>149</v>
      </c>
      <c r="C68" s="93"/>
      <c r="D68" s="12">
        <v>60008073286</v>
      </c>
      <c r="E68" s="30" t="s">
        <v>150</v>
      </c>
      <c r="F68" s="46">
        <f>90/2</f>
        <v>45</v>
      </c>
      <c r="G68" s="46">
        <v>0</v>
      </c>
      <c r="H68" s="74">
        <v>0</v>
      </c>
      <c r="I68" s="51">
        <f t="shared" si="1"/>
        <v>45</v>
      </c>
    </row>
    <row r="69" spans="1:9" ht="21" customHeight="1">
      <c r="A69" s="60"/>
      <c r="B69" s="26" t="s">
        <v>151</v>
      </c>
      <c r="C69" s="26"/>
      <c r="D69" s="12">
        <v>60008101006</v>
      </c>
      <c r="E69" s="30" t="s">
        <v>152</v>
      </c>
      <c r="F69" s="46">
        <v>4</v>
      </c>
      <c r="G69" s="46">
        <v>0</v>
      </c>
      <c r="H69" s="74">
        <v>0</v>
      </c>
      <c r="I69" s="51">
        <f t="shared" si="1"/>
        <v>4</v>
      </c>
    </row>
    <row r="70" spans="1:9" ht="21" customHeight="1">
      <c r="A70" s="60"/>
      <c r="B70" s="26" t="s">
        <v>153</v>
      </c>
      <c r="C70" s="26" t="s">
        <v>359</v>
      </c>
      <c r="D70" s="12">
        <v>60008115357</v>
      </c>
      <c r="E70" s="30" t="s">
        <v>154</v>
      </c>
      <c r="F70" s="46">
        <v>203</v>
      </c>
      <c r="G70" s="46">
        <v>0</v>
      </c>
      <c r="H70" s="74">
        <v>0</v>
      </c>
      <c r="I70" s="51">
        <f t="shared" si="1"/>
        <v>203</v>
      </c>
    </row>
    <row r="71" spans="1:9" ht="21" customHeight="1">
      <c r="A71" s="60"/>
      <c r="B71" s="26" t="s">
        <v>155</v>
      </c>
      <c r="C71" s="26" t="s">
        <v>312</v>
      </c>
      <c r="D71" s="12">
        <v>60008450632</v>
      </c>
      <c r="E71" s="30" t="s">
        <v>156</v>
      </c>
      <c r="F71" s="46">
        <v>30</v>
      </c>
      <c r="G71" s="46">
        <v>0</v>
      </c>
      <c r="H71" s="74">
        <v>0</v>
      </c>
      <c r="I71" s="51">
        <f t="shared" si="1"/>
        <v>30</v>
      </c>
    </row>
    <row r="72" spans="1:9" ht="21" customHeight="1">
      <c r="A72" s="60"/>
      <c r="B72" s="26" t="s">
        <v>157</v>
      </c>
      <c r="C72" s="26" t="s">
        <v>360</v>
      </c>
      <c r="D72" s="12">
        <v>60008427213</v>
      </c>
      <c r="E72" s="30" t="s">
        <v>158</v>
      </c>
      <c r="F72" s="46">
        <f>125/2</f>
        <v>62.5</v>
      </c>
      <c r="G72" s="46">
        <v>0</v>
      </c>
      <c r="H72" s="74">
        <v>0</v>
      </c>
      <c r="I72" s="51">
        <f t="shared" si="1"/>
        <v>62.5</v>
      </c>
    </row>
    <row r="73" spans="1:9" ht="21" customHeight="1">
      <c r="A73" s="60"/>
      <c r="B73" s="26" t="s">
        <v>159</v>
      </c>
      <c r="C73" s="26" t="s">
        <v>361</v>
      </c>
      <c r="D73" s="12">
        <v>60008475541</v>
      </c>
      <c r="E73" s="30" t="s">
        <v>160</v>
      </c>
      <c r="F73" s="46">
        <v>0</v>
      </c>
      <c r="G73" s="46">
        <v>0</v>
      </c>
      <c r="H73" s="74">
        <v>0</v>
      </c>
      <c r="I73" s="51">
        <f t="shared" si="1"/>
        <v>0</v>
      </c>
    </row>
    <row r="74" spans="1:9" ht="21" customHeight="1">
      <c r="A74" s="60"/>
      <c r="B74" s="26" t="s">
        <v>161</v>
      </c>
      <c r="C74" s="93"/>
      <c r="D74" s="12">
        <v>60008368817</v>
      </c>
      <c r="E74" s="30" t="s">
        <v>162</v>
      </c>
      <c r="F74" s="46">
        <v>135</v>
      </c>
      <c r="G74" s="46">
        <v>0</v>
      </c>
      <c r="H74" s="74">
        <v>0</v>
      </c>
      <c r="I74" s="51">
        <f t="shared" si="1"/>
        <v>135</v>
      </c>
    </row>
    <row r="75" spans="1:9" ht="21" customHeight="1">
      <c r="A75" s="60"/>
      <c r="B75" s="26" t="s">
        <v>163</v>
      </c>
      <c r="C75" s="26" t="s">
        <v>372</v>
      </c>
      <c r="D75" s="12">
        <v>60091069643</v>
      </c>
      <c r="E75" s="30" t="s">
        <v>164</v>
      </c>
      <c r="F75" s="46">
        <v>0</v>
      </c>
      <c r="G75" s="46">
        <v>0</v>
      </c>
      <c r="H75" s="74">
        <v>0</v>
      </c>
      <c r="I75" s="51">
        <f t="shared" si="1"/>
        <v>0</v>
      </c>
    </row>
    <row r="76" spans="1:9" ht="21" customHeight="1">
      <c r="A76" s="60"/>
      <c r="B76" s="26" t="s">
        <v>165</v>
      </c>
      <c r="C76" s="26" t="s">
        <v>363</v>
      </c>
      <c r="D76" s="12">
        <v>60089709450</v>
      </c>
      <c r="E76" s="30" t="s">
        <v>166</v>
      </c>
      <c r="F76" s="46">
        <v>130</v>
      </c>
      <c r="G76" s="46">
        <v>0</v>
      </c>
      <c r="H76" s="74">
        <v>0</v>
      </c>
      <c r="I76" s="51">
        <f t="shared" si="1"/>
        <v>130</v>
      </c>
    </row>
    <row r="77" spans="1:9" ht="21" customHeight="1">
      <c r="A77" s="60"/>
      <c r="B77" s="26" t="s">
        <v>167</v>
      </c>
      <c r="C77" s="26" t="s">
        <v>362</v>
      </c>
      <c r="D77" s="12">
        <v>60089553056</v>
      </c>
      <c r="E77" s="30" t="s">
        <v>168</v>
      </c>
      <c r="F77" s="46">
        <f>1914/2+979</f>
        <v>1936</v>
      </c>
      <c r="G77" s="46">
        <v>0</v>
      </c>
      <c r="H77" s="74">
        <v>0</v>
      </c>
      <c r="I77" s="51">
        <f t="shared" si="1"/>
        <v>1936</v>
      </c>
    </row>
    <row r="78" spans="1:9" ht="21" customHeight="1">
      <c r="A78" s="60"/>
      <c r="B78" s="26" t="s">
        <v>169</v>
      </c>
      <c r="C78" s="26" t="s">
        <v>364</v>
      </c>
      <c r="D78" s="17">
        <v>60090692774</v>
      </c>
      <c r="E78" s="31" t="s">
        <v>170</v>
      </c>
      <c r="F78" s="46">
        <v>6</v>
      </c>
      <c r="G78" s="46">
        <v>0</v>
      </c>
      <c r="H78" s="74">
        <v>0</v>
      </c>
      <c r="I78" s="51">
        <f t="shared" si="1"/>
        <v>6</v>
      </c>
    </row>
    <row r="79" spans="1:9" ht="21" customHeight="1">
      <c r="A79" s="60"/>
      <c r="B79" s="26" t="s">
        <v>171</v>
      </c>
      <c r="C79" s="93"/>
      <c r="D79" s="12">
        <v>60006579681</v>
      </c>
      <c r="E79" s="30" t="s">
        <v>172</v>
      </c>
      <c r="F79" s="46">
        <v>32</v>
      </c>
      <c r="G79" s="46">
        <v>0</v>
      </c>
      <c r="H79" s="74">
        <v>0</v>
      </c>
      <c r="I79" s="51">
        <f t="shared" si="1"/>
        <v>32</v>
      </c>
    </row>
    <row r="80" spans="1:9" ht="21" customHeight="1">
      <c r="A80" s="60"/>
      <c r="B80" s="26" t="s">
        <v>173</v>
      </c>
      <c r="C80" s="26" t="s">
        <v>333</v>
      </c>
      <c r="D80" s="12">
        <v>60006586696</v>
      </c>
      <c r="E80" s="30" t="s">
        <v>174</v>
      </c>
      <c r="F80" s="46">
        <f>1709/2</f>
        <v>854.5</v>
      </c>
      <c r="G80" s="46">
        <v>0</v>
      </c>
      <c r="H80" s="74">
        <v>0</v>
      </c>
      <c r="I80" s="51">
        <f t="shared" si="1"/>
        <v>854.5</v>
      </c>
    </row>
    <row r="81" spans="1:9" ht="21" customHeight="1">
      <c r="A81" s="60"/>
      <c r="B81" s="26" t="s">
        <v>175</v>
      </c>
      <c r="C81" s="93"/>
      <c r="D81" s="17">
        <v>60006586704</v>
      </c>
      <c r="E81" s="31" t="s">
        <v>176</v>
      </c>
      <c r="F81" s="46"/>
      <c r="G81" s="46"/>
      <c r="H81" s="74"/>
      <c r="I81" s="51">
        <f t="shared" si="1"/>
        <v>0</v>
      </c>
    </row>
    <row r="82" spans="1:9" ht="21" customHeight="1">
      <c r="A82" s="60"/>
      <c r="B82" s="26" t="s">
        <v>177</v>
      </c>
      <c r="C82" s="26" t="s">
        <v>370</v>
      </c>
      <c r="D82" s="12">
        <v>60006587652</v>
      </c>
      <c r="E82" s="33" t="s">
        <v>178</v>
      </c>
      <c r="F82" s="47">
        <v>0</v>
      </c>
      <c r="G82" s="47">
        <v>0</v>
      </c>
      <c r="H82" s="75">
        <v>0</v>
      </c>
      <c r="I82" s="51">
        <f t="shared" si="1"/>
        <v>0</v>
      </c>
    </row>
    <row r="83" spans="1:9" ht="21" customHeight="1">
      <c r="A83" s="60"/>
      <c r="B83" s="26" t="s">
        <v>179</v>
      </c>
      <c r="C83" s="26" t="s">
        <v>334</v>
      </c>
      <c r="D83" s="12">
        <v>60006587671</v>
      </c>
      <c r="E83" s="30" t="s">
        <v>180</v>
      </c>
      <c r="F83" s="49">
        <v>324</v>
      </c>
      <c r="G83" s="49">
        <v>0</v>
      </c>
      <c r="H83" s="76">
        <v>0</v>
      </c>
      <c r="I83" s="51">
        <f t="shared" si="1"/>
        <v>324</v>
      </c>
    </row>
    <row r="84" spans="1:9" ht="21" customHeight="1">
      <c r="A84" s="60"/>
      <c r="B84" s="26" t="s">
        <v>181</v>
      </c>
      <c r="C84" s="26" t="s">
        <v>335</v>
      </c>
      <c r="D84" s="12">
        <v>60006593566</v>
      </c>
      <c r="E84" s="30" t="s">
        <v>182</v>
      </c>
      <c r="F84" s="46">
        <f>676/2</f>
        <v>338</v>
      </c>
      <c r="G84" s="46">
        <v>0</v>
      </c>
      <c r="H84" s="74">
        <v>0</v>
      </c>
      <c r="I84" s="51">
        <f t="shared" si="1"/>
        <v>338</v>
      </c>
    </row>
    <row r="85" spans="1:9" ht="21" customHeight="1">
      <c r="A85" s="60"/>
      <c r="B85" s="26" t="s">
        <v>183</v>
      </c>
      <c r="C85" s="26" t="s">
        <v>336</v>
      </c>
      <c r="D85" s="12">
        <v>60006601563</v>
      </c>
      <c r="E85" s="30" t="s">
        <v>184</v>
      </c>
      <c r="F85" s="46">
        <v>501.506666666666</v>
      </c>
      <c r="G85" s="46">
        <v>0</v>
      </c>
      <c r="H85" s="74">
        <v>0</v>
      </c>
      <c r="I85" s="51">
        <f t="shared" si="1"/>
        <v>501.506666666666</v>
      </c>
    </row>
    <row r="86" spans="1:9" ht="21" customHeight="1">
      <c r="A86" s="60"/>
      <c r="B86" s="26" t="s">
        <v>185</v>
      </c>
      <c r="C86" s="26" t="s">
        <v>310</v>
      </c>
      <c r="D86" s="12">
        <v>60006630551</v>
      </c>
      <c r="E86" s="30" t="s">
        <v>186</v>
      </c>
      <c r="F86" s="46">
        <f>1110/2</f>
        <v>555</v>
      </c>
      <c r="G86" s="46">
        <v>0</v>
      </c>
      <c r="H86" s="74">
        <v>0</v>
      </c>
      <c r="I86" s="51">
        <f t="shared" si="1"/>
        <v>555</v>
      </c>
    </row>
    <row r="87" spans="1:9" ht="21" customHeight="1">
      <c r="A87" s="60"/>
      <c r="B87" s="26" t="s">
        <v>187</v>
      </c>
      <c r="C87" s="26" t="s">
        <v>287</v>
      </c>
      <c r="D87" s="12">
        <v>60006631759</v>
      </c>
      <c r="E87" s="30" t="s">
        <v>188</v>
      </c>
      <c r="F87" s="46">
        <f>524/2</f>
        <v>262</v>
      </c>
      <c r="G87" s="46">
        <v>0</v>
      </c>
      <c r="H87" s="74">
        <v>0</v>
      </c>
      <c r="I87" s="51">
        <f t="shared" si="1"/>
        <v>262</v>
      </c>
    </row>
    <row r="88" spans="1:9" ht="21" customHeight="1">
      <c r="A88" s="60"/>
      <c r="B88" s="26" t="s">
        <v>189</v>
      </c>
      <c r="C88" s="26" t="s">
        <v>339</v>
      </c>
      <c r="D88" s="12">
        <v>60006631974</v>
      </c>
      <c r="E88" s="30" t="s">
        <v>190</v>
      </c>
      <c r="F88" s="46">
        <v>1145</v>
      </c>
      <c r="G88" s="46">
        <v>0</v>
      </c>
      <c r="H88" s="74">
        <v>0</v>
      </c>
      <c r="I88" s="51">
        <f t="shared" si="1"/>
        <v>1145</v>
      </c>
    </row>
    <row r="89" spans="1:9" ht="21" customHeight="1">
      <c r="A89" s="60"/>
      <c r="B89" s="26" t="s">
        <v>191</v>
      </c>
      <c r="C89" s="26" t="s">
        <v>356</v>
      </c>
      <c r="D89" s="12">
        <v>60007843337</v>
      </c>
      <c r="E89" s="30" t="s">
        <v>192</v>
      </c>
      <c r="F89" s="46">
        <f>949/2</f>
        <v>474.5</v>
      </c>
      <c r="G89" s="46">
        <v>0</v>
      </c>
      <c r="H89" s="74">
        <v>0</v>
      </c>
      <c r="I89" s="51">
        <f t="shared" si="1"/>
        <v>474.5</v>
      </c>
    </row>
    <row r="90" spans="1:9" ht="21" customHeight="1">
      <c r="A90" s="60"/>
      <c r="B90" s="26" t="s">
        <v>193</v>
      </c>
      <c r="C90" s="26" t="s">
        <v>305</v>
      </c>
      <c r="D90" s="12">
        <v>60006631992</v>
      </c>
      <c r="E90" s="30" t="s">
        <v>194</v>
      </c>
      <c r="F90" s="46">
        <v>1535</v>
      </c>
      <c r="G90" s="46">
        <v>0</v>
      </c>
      <c r="H90" s="74">
        <v>0</v>
      </c>
      <c r="I90" s="51">
        <f t="shared" si="1"/>
        <v>1535</v>
      </c>
    </row>
    <row r="91" spans="1:9" ht="21" customHeight="1">
      <c r="A91" s="60"/>
      <c r="B91" s="26" t="s">
        <v>195</v>
      </c>
      <c r="C91" s="26" t="s">
        <v>341</v>
      </c>
      <c r="D91" s="12">
        <v>60006632013</v>
      </c>
      <c r="E91" s="30" t="s">
        <v>196</v>
      </c>
      <c r="F91" s="46">
        <v>182</v>
      </c>
      <c r="G91" s="46">
        <v>0</v>
      </c>
      <c r="H91" s="74">
        <v>0</v>
      </c>
      <c r="I91" s="51">
        <f t="shared" si="1"/>
        <v>182</v>
      </c>
    </row>
    <row r="92" spans="1:9" ht="21" customHeight="1">
      <c r="A92" s="60"/>
      <c r="B92" s="26" t="s">
        <v>197</v>
      </c>
      <c r="C92" s="26" t="s">
        <v>288</v>
      </c>
      <c r="D92" s="12">
        <v>60006632028</v>
      </c>
      <c r="E92" s="30" t="s">
        <v>198</v>
      </c>
      <c r="F92" s="46">
        <v>1461</v>
      </c>
      <c r="G92" s="46">
        <v>0</v>
      </c>
      <c r="H92" s="74">
        <v>0</v>
      </c>
      <c r="I92" s="51">
        <f t="shared" si="1"/>
        <v>1461</v>
      </c>
    </row>
    <row r="93" spans="1:9" ht="21" customHeight="1">
      <c r="A93" s="60"/>
      <c r="B93" s="26" t="s">
        <v>199</v>
      </c>
      <c r="C93" s="26" t="s">
        <v>342</v>
      </c>
      <c r="D93" s="12">
        <v>60006632034</v>
      </c>
      <c r="E93" s="30" t="s">
        <v>200</v>
      </c>
      <c r="F93" s="46">
        <v>137</v>
      </c>
      <c r="G93" s="46">
        <v>0</v>
      </c>
      <c r="H93" s="74">
        <v>0</v>
      </c>
      <c r="I93" s="51">
        <f t="shared" si="1"/>
        <v>137</v>
      </c>
    </row>
    <row r="94" spans="1:9" ht="21" customHeight="1">
      <c r="A94" s="60"/>
      <c r="B94" s="26" t="s">
        <v>201</v>
      </c>
      <c r="C94" s="26" t="s">
        <v>343</v>
      </c>
      <c r="D94" s="12">
        <v>60006637176</v>
      </c>
      <c r="E94" s="30" t="s">
        <v>202</v>
      </c>
      <c r="F94" s="46">
        <v>189</v>
      </c>
      <c r="G94" s="46">
        <v>0</v>
      </c>
      <c r="H94" s="74">
        <v>0</v>
      </c>
      <c r="I94" s="51">
        <f t="shared" si="1"/>
        <v>189</v>
      </c>
    </row>
    <row r="95" spans="1:9" ht="21" customHeight="1">
      <c r="A95" s="60"/>
      <c r="B95" s="26" t="s">
        <v>203</v>
      </c>
      <c r="C95" s="93"/>
      <c r="D95" s="12">
        <v>60006637235</v>
      </c>
      <c r="E95" s="30" t="s">
        <v>204</v>
      </c>
      <c r="F95" s="46">
        <f>142/2</f>
        <v>71</v>
      </c>
      <c r="G95" s="46">
        <v>0</v>
      </c>
      <c r="H95" s="74">
        <v>0</v>
      </c>
      <c r="I95" s="51">
        <f t="shared" si="1"/>
        <v>71</v>
      </c>
    </row>
    <row r="96" spans="1:9" ht="21" customHeight="1">
      <c r="A96" s="60"/>
      <c r="B96" s="26" t="s">
        <v>205</v>
      </c>
      <c r="C96" s="26" t="s">
        <v>306</v>
      </c>
      <c r="D96" s="12">
        <v>60006637714</v>
      </c>
      <c r="E96" s="30" t="s">
        <v>206</v>
      </c>
      <c r="F96" s="46">
        <f>281/2</f>
        <v>140.5</v>
      </c>
      <c r="G96" s="46">
        <v>0</v>
      </c>
      <c r="H96" s="74">
        <v>0</v>
      </c>
      <c r="I96" s="51">
        <f t="shared" si="1"/>
        <v>140.5</v>
      </c>
    </row>
    <row r="97" spans="1:9" ht="21" customHeight="1">
      <c r="A97" s="60"/>
      <c r="B97" s="26" t="s">
        <v>207</v>
      </c>
      <c r="C97" s="93"/>
      <c r="D97" s="12">
        <v>60006642108</v>
      </c>
      <c r="E97" s="30" t="s">
        <v>208</v>
      </c>
      <c r="F97" s="46">
        <f>142/2</f>
        <v>71</v>
      </c>
      <c r="G97" s="46">
        <v>0</v>
      </c>
      <c r="H97" s="74">
        <v>0</v>
      </c>
      <c r="I97" s="51">
        <f t="shared" si="1"/>
        <v>71</v>
      </c>
    </row>
    <row r="98" spans="1:9" ht="21" customHeight="1">
      <c r="A98" s="60"/>
      <c r="B98" s="26" t="s">
        <v>209</v>
      </c>
      <c r="C98" s="93"/>
      <c r="D98" s="12">
        <v>60006642114</v>
      </c>
      <c r="E98" s="30" t="s">
        <v>210</v>
      </c>
      <c r="F98" s="46">
        <f>142/2</f>
        <v>71</v>
      </c>
      <c r="G98" s="46">
        <v>0</v>
      </c>
      <c r="H98" s="74">
        <v>0</v>
      </c>
      <c r="I98" s="51">
        <f t="shared" si="1"/>
        <v>71</v>
      </c>
    </row>
    <row r="99" spans="1:9" ht="21" customHeight="1">
      <c r="A99" s="60"/>
      <c r="B99" s="26" t="s">
        <v>211</v>
      </c>
      <c r="C99" s="26" t="s">
        <v>290</v>
      </c>
      <c r="D99" s="12">
        <v>60006644426</v>
      </c>
      <c r="E99" s="30" t="s">
        <v>212</v>
      </c>
      <c r="F99" s="46">
        <v>429</v>
      </c>
      <c r="G99" s="46">
        <v>0</v>
      </c>
      <c r="H99" s="74">
        <v>0</v>
      </c>
      <c r="I99" s="51">
        <f t="shared" si="1"/>
        <v>429</v>
      </c>
    </row>
    <row r="100" spans="1:9" ht="21" customHeight="1">
      <c r="A100" s="60"/>
      <c r="B100" s="26" t="s">
        <v>213</v>
      </c>
      <c r="C100" s="93"/>
      <c r="D100" s="12">
        <v>60006644431</v>
      </c>
      <c r="E100" s="30" t="s">
        <v>214</v>
      </c>
      <c r="F100" s="46">
        <v>503</v>
      </c>
      <c r="G100" s="46">
        <v>0</v>
      </c>
      <c r="H100" s="74">
        <v>0</v>
      </c>
      <c r="I100" s="51">
        <f t="shared" si="1"/>
        <v>503</v>
      </c>
    </row>
    <row r="101" spans="1:9" ht="21" customHeight="1">
      <c r="A101" s="60"/>
      <c r="B101" s="26" t="s">
        <v>215</v>
      </c>
      <c r="C101" s="26" t="s">
        <v>344</v>
      </c>
      <c r="D101" s="12">
        <v>60006644654</v>
      </c>
      <c r="E101" s="30" t="s">
        <v>216</v>
      </c>
      <c r="F101" s="47">
        <v>167</v>
      </c>
      <c r="G101" s="47">
        <v>0</v>
      </c>
      <c r="H101" s="75">
        <v>0</v>
      </c>
      <c r="I101" s="92">
        <f t="shared" si="1"/>
        <v>167</v>
      </c>
    </row>
    <row r="102" spans="1:9" ht="21" customHeight="1">
      <c r="A102" s="60"/>
      <c r="B102" s="26" t="s">
        <v>217</v>
      </c>
      <c r="C102" s="93"/>
      <c r="D102" s="12">
        <v>60007182237</v>
      </c>
      <c r="E102" s="30" t="s">
        <v>218</v>
      </c>
      <c r="F102" s="46">
        <f>9+(3/2)</f>
        <v>10.5</v>
      </c>
      <c r="G102" s="46">
        <v>0</v>
      </c>
      <c r="H102" s="74">
        <v>0</v>
      </c>
      <c r="I102" s="51">
        <f t="shared" si="1"/>
        <v>10.5</v>
      </c>
    </row>
    <row r="103" spans="1:9" ht="21" customHeight="1">
      <c r="A103" s="60"/>
      <c r="B103" s="26" t="s">
        <v>219</v>
      </c>
      <c r="C103" s="26" t="s">
        <v>354</v>
      </c>
      <c r="D103" s="12">
        <v>60007843211</v>
      </c>
      <c r="E103" s="30" t="s">
        <v>220</v>
      </c>
      <c r="F103" s="46">
        <v>165</v>
      </c>
      <c r="G103" s="46">
        <v>0</v>
      </c>
      <c r="H103" s="74">
        <v>0</v>
      </c>
      <c r="I103" s="51">
        <f t="shared" si="1"/>
        <v>165</v>
      </c>
    </row>
    <row r="104" spans="1:9" ht="21" customHeight="1">
      <c r="A104" s="60"/>
      <c r="B104" s="26" t="s">
        <v>221</v>
      </c>
      <c r="C104" s="26" t="s">
        <v>355</v>
      </c>
      <c r="D104" s="12">
        <v>60007843225</v>
      </c>
      <c r="E104" s="30" t="s">
        <v>222</v>
      </c>
      <c r="F104" s="46">
        <v>0</v>
      </c>
      <c r="G104" s="46">
        <v>0</v>
      </c>
      <c r="H104" s="74">
        <v>0</v>
      </c>
      <c r="I104" s="51">
        <f t="shared" si="1"/>
        <v>0</v>
      </c>
    </row>
    <row r="105" spans="1:9" ht="21" customHeight="1">
      <c r="A105" s="60"/>
      <c r="B105" s="26" t="s">
        <v>223</v>
      </c>
      <c r="C105" s="26" t="s">
        <v>347</v>
      </c>
      <c r="D105" s="12">
        <v>60007211343</v>
      </c>
      <c r="E105" s="30" t="s">
        <v>224</v>
      </c>
      <c r="F105" s="46">
        <v>0</v>
      </c>
      <c r="G105" s="46">
        <v>0</v>
      </c>
      <c r="H105" s="74">
        <v>0</v>
      </c>
      <c r="I105" s="51">
        <f t="shared" si="1"/>
        <v>0</v>
      </c>
    </row>
    <row r="106" spans="1:9" ht="21" customHeight="1">
      <c r="A106" s="60"/>
      <c r="B106" s="26" t="s">
        <v>225</v>
      </c>
      <c r="C106" s="26" t="s">
        <v>346</v>
      </c>
      <c r="D106" s="12">
        <v>60007211339</v>
      </c>
      <c r="E106" s="30" t="s">
        <v>226</v>
      </c>
      <c r="F106" s="46">
        <f>322/2</f>
        <v>161</v>
      </c>
      <c r="G106" s="46">
        <v>0</v>
      </c>
      <c r="H106" s="74">
        <v>0</v>
      </c>
      <c r="I106" s="51">
        <f t="shared" si="1"/>
        <v>161</v>
      </c>
    </row>
    <row r="107" spans="1:9" ht="21" customHeight="1">
      <c r="A107" s="60"/>
      <c r="B107" s="26" t="s">
        <v>227</v>
      </c>
      <c r="C107" s="26" t="s">
        <v>291</v>
      </c>
      <c r="D107" s="12">
        <v>60007239731</v>
      </c>
      <c r="E107" s="30" t="s">
        <v>228</v>
      </c>
      <c r="F107" s="46"/>
      <c r="G107" s="46"/>
      <c r="H107" s="74"/>
      <c r="I107" s="51">
        <f t="shared" si="1"/>
        <v>0</v>
      </c>
    </row>
    <row r="108" spans="1:9" ht="21" customHeight="1">
      <c r="A108" s="60"/>
      <c r="B108" s="26" t="s">
        <v>229</v>
      </c>
      <c r="C108" s="26" t="s">
        <v>348</v>
      </c>
      <c r="D108" s="12">
        <v>60007483419</v>
      </c>
      <c r="E108" s="30" t="s">
        <v>230</v>
      </c>
      <c r="F108" s="46">
        <f>221/2</f>
        <v>110.5</v>
      </c>
      <c r="G108" s="46">
        <v>0</v>
      </c>
      <c r="H108" s="74">
        <v>0</v>
      </c>
      <c r="I108" s="51">
        <f t="shared" si="1"/>
        <v>110.5</v>
      </c>
    </row>
    <row r="109" spans="1:9" ht="21" customHeight="1">
      <c r="A109" s="60"/>
      <c r="B109" s="26" t="s">
        <v>231</v>
      </c>
      <c r="C109" s="26" t="s">
        <v>301</v>
      </c>
      <c r="D109" s="12">
        <v>60006579638</v>
      </c>
      <c r="E109" s="30" t="s">
        <v>232</v>
      </c>
      <c r="F109" s="46">
        <v>0</v>
      </c>
      <c r="G109" s="46">
        <v>0</v>
      </c>
      <c r="H109" s="74">
        <v>0</v>
      </c>
      <c r="I109" s="51">
        <f t="shared" si="1"/>
        <v>0</v>
      </c>
    </row>
    <row r="110" spans="1:9" ht="21" customHeight="1">
      <c r="A110" s="60"/>
      <c r="B110" s="26" t="s">
        <v>233</v>
      </c>
      <c r="C110" s="26" t="s">
        <v>349</v>
      </c>
      <c r="D110" s="12">
        <v>60006579657</v>
      </c>
      <c r="E110" s="30" t="s">
        <v>234</v>
      </c>
      <c r="F110" s="46">
        <v>734</v>
      </c>
      <c r="G110" s="46">
        <v>0</v>
      </c>
      <c r="H110" s="74">
        <v>0</v>
      </c>
      <c r="I110" s="51">
        <f t="shared" si="1"/>
        <v>734</v>
      </c>
    </row>
    <row r="111" spans="1:9" ht="21" customHeight="1">
      <c r="A111" s="60"/>
      <c r="B111" s="26" t="s">
        <v>235</v>
      </c>
      <c r="C111" s="93"/>
      <c r="D111" s="12">
        <v>60006579676</v>
      </c>
      <c r="E111" s="30" t="s">
        <v>236</v>
      </c>
      <c r="F111" s="46">
        <v>15</v>
      </c>
      <c r="G111" s="46">
        <v>0</v>
      </c>
      <c r="H111" s="74">
        <v>0</v>
      </c>
      <c r="I111" s="51">
        <f t="shared" si="1"/>
        <v>15</v>
      </c>
    </row>
    <row r="112" spans="1:9" ht="21" customHeight="1">
      <c r="A112" s="60"/>
      <c r="B112" s="26" t="s">
        <v>237</v>
      </c>
      <c r="C112" s="26" t="s">
        <v>351</v>
      </c>
      <c r="D112" s="12">
        <v>60007631681</v>
      </c>
      <c r="E112" s="30" t="s">
        <v>238</v>
      </c>
      <c r="F112" s="46">
        <v>36</v>
      </c>
      <c r="G112" s="46">
        <v>0</v>
      </c>
      <c r="H112" s="74">
        <v>0</v>
      </c>
      <c r="I112" s="51">
        <f t="shared" si="1"/>
        <v>36</v>
      </c>
    </row>
    <row r="113" spans="1:9" ht="21" customHeight="1">
      <c r="A113" s="60"/>
      <c r="B113" s="26" t="s">
        <v>239</v>
      </c>
      <c r="C113" s="26" t="s">
        <v>357</v>
      </c>
      <c r="D113" s="12">
        <v>60007848373</v>
      </c>
      <c r="E113" s="30" t="s">
        <v>240</v>
      </c>
      <c r="F113" s="46">
        <f>2116/2</f>
        <v>1058</v>
      </c>
      <c r="G113" s="46">
        <v>0</v>
      </c>
      <c r="H113" s="74">
        <v>0</v>
      </c>
      <c r="I113" s="51">
        <f t="shared" si="1"/>
        <v>1058</v>
      </c>
    </row>
    <row r="114" spans="1:9" ht="21" customHeight="1">
      <c r="A114" s="60"/>
      <c r="B114" s="26" t="s">
        <v>241</v>
      </c>
      <c r="C114" s="26" t="s">
        <v>338</v>
      </c>
      <c r="D114" s="12">
        <v>60006631880</v>
      </c>
      <c r="E114" s="30" t="s">
        <v>242</v>
      </c>
      <c r="F114" s="46">
        <f>-584/2</f>
        <v>-292</v>
      </c>
      <c r="G114" s="46">
        <v>0</v>
      </c>
      <c r="H114" s="74">
        <v>0</v>
      </c>
      <c r="I114" s="51">
        <f t="shared" si="1"/>
        <v>-292</v>
      </c>
    </row>
    <row r="115" spans="1:9" ht="21" customHeight="1">
      <c r="A115" s="64"/>
      <c r="B115" s="26" t="s">
        <v>243</v>
      </c>
      <c r="C115" s="26" t="s">
        <v>320</v>
      </c>
      <c r="D115" s="12">
        <v>60006631920</v>
      </c>
      <c r="E115" s="30" t="s">
        <v>244</v>
      </c>
      <c r="F115" s="49">
        <v>266</v>
      </c>
      <c r="G115" s="49">
        <v>0</v>
      </c>
      <c r="H115" s="76">
        <v>0</v>
      </c>
      <c r="I115" s="51">
        <f t="shared" si="1"/>
        <v>266</v>
      </c>
    </row>
    <row r="116" spans="1:9" ht="21" customHeight="1">
      <c r="A116" s="64"/>
      <c r="B116" s="26" t="s">
        <v>245</v>
      </c>
      <c r="C116" s="26" t="s">
        <v>340</v>
      </c>
      <c r="D116" s="12">
        <v>60006631987</v>
      </c>
      <c r="E116" s="30" t="s">
        <v>246</v>
      </c>
      <c r="F116" s="49">
        <f>3385/2</f>
        <v>1692.5</v>
      </c>
      <c r="G116" s="49">
        <v>0</v>
      </c>
      <c r="H116" s="76">
        <v>0</v>
      </c>
      <c r="I116" s="51">
        <f t="shared" si="1"/>
        <v>1692.5</v>
      </c>
    </row>
    <row r="117" spans="1:9" ht="21" customHeight="1">
      <c r="A117" s="64"/>
      <c r="B117" s="26" t="s">
        <v>247</v>
      </c>
      <c r="C117" s="26" t="s">
        <v>373</v>
      </c>
      <c r="D117" s="12">
        <v>60006632009</v>
      </c>
      <c r="E117" s="30" t="s">
        <v>248</v>
      </c>
      <c r="F117" s="49">
        <v>1825</v>
      </c>
      <c r="G117" s="49">
        <v>0</v>
      </c>
      <c r="H117" s="76">
        <v>0</v>
      </c>
      <c r="I117" s="51">
        <f t="shared" si="1"/>
        <v>1825</v>
      </c>
    </row>
    <row r="118" spans="1:9" ht="21" customHeight="1">
      <c r="A118" s="64"/>
      <c r="B118" s="26" t="s">
        <v>249</v>
      </c>
      <c r="C118" s="26" t="s">
        <v>350</v>
      </c>
      <c r="D118" s="12">
        <v>60007611240</v>
      </c>
      <c r="E118" s="30" t="s">
        <v>250</v>
      </c>
      <c r="F118" s="49">
        <v>1792</v>
      </c>
      <c r="G118" s="49">
        <v>0</v>
      </c>
      <c r="H118" s="76">
        <v>0</v>
      </c>
      <c r="I118" s="51">
        <f t="shared" si="1"/>
        <v>1792</v>
      </c>
    </row>
    <row r="119" spans="1:9" ht="21" customHeight="1">
      <c r="A119" s="64"/>
      <c r="B119" s="26" t="s">
        <v>251</v>
      </c>
      <c r="C119" s="26" t="s">
        <v>337</v>
      </c>
      <c r="D119" s="12">
        <v>60006613294</v>
      </c>
      <c r="E119" s="30" t="s">
        <v>252</v>
      </c>
      <c r="F119" s="49">
        <f>542/2</f>
        <v>271</v>
      </c>
      <c r="G119" s="49">
        <v>0</v>
      </c>
      <c r="H119" s="76">
        <v>0</v>
      </c>
      <c r="I119" s="51">
        <f t="shared" si="1"/>
        <v>271</v>
      </c>
    </row>
    <row r="120" spans="1:9" ht="21" customHeight="1">
      <c r="A120" s="64"/>
      <c r="B120" s="26" t="s">
        <v>253</v>
      </c>
      <c r="C120" s="26" t="s">
        <v>303</v>
      </c>
      <c r="D120" s="12">
        <v>60006631725</v>
      </c>
      <c r="E120" s="30" t="s">
        <v>254</v>
      </c>
      <c r="F120" s="49">
        <f>1126/2</f>
        <v>563</v>
      </c>
      <c r="G120" s="49">
        <v>0</v>
      </c>
      <c r="H120" s="76">
        <v>0</v>
      </c>
      <c r="I120" s="51">
        <f t="shared" si="1"/>
        <v>563</v>
      </c>
    </row>
    <row r="121" spans="1:9" ht="21" customHeight="1">
      <c r="A121" s="64"/>
      <c r="B121" s="26" t="s">
        <v>255</v>
      </c>
      <c r="C121" s="26" t="s">
        <v>304</v>
      </c>
      <c r="D121" s="12">
        <v>60006631818</v>
      </c>
      <c r="E121" s="30" t="s">
        <v>256</v>
      </c>
      <c r="F121" s="49">
        <f>68/2+56/2</f>
        <v>62</v>
      </c>
      <c r="G121" s="49">
        <v>0</v>
      </c>
      <c r="H121" s="76">
        <v>0</v>
      </c>
      <c r="I121" s="51">
        <f aca="true" t="shared" si="2" ref="I121:I130">F121+G121+H121</f>
        <v>62</v>
      </c>
    </row>
    <row r="122" spans="1:9" ht="21" customHeight="1">
      <c r="A122" s="64"/>
      <c r="B122" s="25" t="s">
        <v>257</v>
      </c>
      <c r="C122" s="95"/>
      <c r="D122" s="14">
        <v>60006631824</v>
      </c>
      <c r="E122" s="45" t="s">
        <v>258</v>
      </c>
      <c r="F122" s="49">
        <f>7109*0.5</f>
        <v>3554.5</v>
      </c>
      <c r="G122" s="49">
        <v>0</v>
      </c>
      <c r="H122" s="76">
        <v>0</v>
      </c>
      <c r="I122" s="51">
        <f t="shared" si="2"/>
        <v>3554.5</v>
      </c>
    </row>
    <row r="123" spans="1:9" ht="21" customHeight="1">
      <c r="A123" s="64"/>
      <c r="B123" s="25" t="s">
        <v>259</v>
      </c>
      <c r="C123" s="25" t="s">
        <v>345</v>
      </c>
      <c r="D123" s="14">
        <v>60006872372</v>
      </c>
      <c r="E123" s="45" t="s">
        <v>260</v>
      </c>
      <c r="F123" s="49">
        <v>106</v>
      </c>
      <c r="G123" s="49">
        <v>0</v>
      </c>
      <c r="H123" s="76">
        <v>0</v>
      </c>
      <c r="I123" s="51">
        <f t="shared" si="2"/>
        <v>106</v>
      </c>
    </row>
    <row r="124" spans="1:9" ht="21" customHeight="1">
      <c r="A124" s="64"/>
      <c r="B124" s="25" t="s">
        <v>261</v>
      </c>
      <c r="C124" s="25" t="s">
        <v>321</v>
      </c>
      <c r="D124" s="14">
        <v>60006974384</v>
      </c>
      <c r="E124" s="45" t="s">
        <v>262</v>
      </c>
      <c r="F124" s="49"/>
      <c r="G124" s="49"/>
      <c r="H124" s="76"/>
      <c r="I124" s="51">
        <f t="shared" si="2"/>
        <v>0</v>
      </c>
    </row>
    <row r="125" spans="1:9" ht="21" customHeight="1">
      <c r="A125" s="64"/>
      <c r="B125" s="25" t="s">
        <v>263</v>
      </c>
      <c r="C125" s="25" t="s">
        <v>368</v>
      </c>
      <c r="D125" s="14">
        <v>60006581324</v>
      </c>
      <c r="E125" s="45" t="s">
        <v>264</v>
      </c>
      <c r="F125" s="49">
        <v>2048</v>
      </c>
      <c r="G125" s="49">
        <v>0</v>
      </c>
      <c r="H125" s="76">
        <v>0</v>
      </c>
      <c r="I125" s="51">
        <f t="shared" si="2"/>
        <v>2048</v>
      </c>
    </row>
    <row r="126" spans="1:9" ht="21" customHeight="1">
      <c r="A126" s="64"/>
      <c r="B126" s="25" t="s">
        <v>265</v>
      </c>
      <c r="C126" s="25" t="s">
        <v>352</v>
      </c>
      <c r="D126" s="14">
        <v>60007651627</v>
      </c>
      <c r="E126" s="45" t="s">
        <v>266</v>
      </c>
      <c r="F126" s="49">
        <v>34</v>
      </c>
      <c r="G126" s="49">
        <v>0</v>
      </c>
      <c r="H126" s="76">
        <v>0</v>
      </c>
      <c r="I126" s="51">
        <f t="shared" si="2"/>
        <v>34</v>
      </c>
    </row>
    <row r="127" spans="1:9" ht="21" customHeight="1">
      <c r="A127" s="64"/>
      <c r="B127" s="25" t="s">
        <v>267</v>
      </c>
      <c r="C127" s="95"/>
      <c r="D127" s="14">
        <v>83007351147</v>
      </c>
      <c r="E127" s="45" t="s">
        <v>268</v>
      </c>
      <c r="F127" s="49">
        <v>13</v>
      </c>
      <c r="G127" s="49">
        <v>0</v>
      </c>
      <c r="H127" s="76">
        <v>0</v>
      </c>
      <c r="I127" s="51">
        <f t="shared" si="2"/>
        <v>13</v>
      </c>
    </row>
    <row r="128" spans="1:9" ht="21" customHeight="1">
      <c r="A128" s="64"/>
      <c r="B128" s="25" t="s">
        <v>269</v>
      </c>
      <c r="C128" s="25"/>
      <c r="D128" s="14">
        <v>83007705623</v>
      </c>
      <c r="E128" s="45" t="s">
        <v>270</v>
      </c>
      <c r="F128" s="49">
        <v>39</v>
      </c>
      <c r="G128" s="49">
        <v>0</v>
      </c>
      <c r="H128" s="76">
        <v>0</v>
      </c>
      <c r="I128" s="51">
        <f t="shared" si="2"/>
        <v>39</v>
      </c>
    </row>
    <row r="129" spans="1:9" ht="21" customHeight="1">
      <c r="A129" s="64"/>
      <c r="B129" s="25" t="s">
        <v>271</v>
      </c>
      <c r="C129" s="25"/>
      <c r="D129" s="14">
        <v>83007812488</v>
      </c>
      <c r="E129" s="45" t="s">
        <v>272</v>
      </c>
      <c r="F129" s="49">
        <v>346</v>
      </c>
      <c r="G129" s="49">
        <v>0</v>
      </c>
      <c r="H129" s="76">
        <v>0</v>
      </c>
      <c r="I129" s="51">
        <f t="shared" si="2"/>
        <v>346</v>
      </c>
    </row>
    <row r="130" spans="1:9" ht="21" customHeight="1">
      <c r="A130" s="64"/>
      <c r="B130" s="25" t="s">
        <v>273</v>
      </c>
      <c r="C130" s="25"/>
      <c r="D130" s="14">
        <v>83007946440</v>
      </c>
      <c r="E130" s="45" t="s">
        <v>274</v>
      </c>
      <c r="F130" s="49"/>
      <c r="G130" s="49"/>
      <c r="H130" s="76"/>
      <c r="I130" s="51">
        <f t="shared" si="2"/>
        <v>0</v>
      </c>
    </row>
    <row r="131" spans="1:9" ht="21" customHeight="1" thickBot="1">
      <c r="A131" s="65" t="s">
        <v>0</v>
      </c>
      <c r="B131" s="66"/>
      <c r="C131" s="66"/>
      <c r="D131" s="13"/>
      <c r="E131" s="13"/>
      <c r="F131" s="69"/>
      <c r="G131" s="69"/>
      <c r="H131" s="77"/>
      <c r="I131" s="70">
        <f>SUM(I8:I130)</f>
        <v>114890.50666666667</v>
      </c>
    </row>
    <row r="132" ht="13.5" thickTop="1"/>
  </sheetData>
  <sheetProtection/>
  <mergeCells count="3">
    <mergeCell ref="F2:I2"/>
    <mergeCell ref="G3:I3"/>
    <mergeCell ref="F4:I4"/>
  </mergeCells>
  <printOptions horizontalCentered="1"/>
  <pageMargins left="0.5118110236220472" right="0.5118110236220472" top="0.5511811023622047" bottom="0.5511811023622047" header="0.31496062992125984" footer="0.31496062992125984"/>
  <pageSetup fitToHeight="0" fitToWidth="1" horizontalDpi="1200" verticalDpi="1200" orientation="portrait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L131"/>
  <sheetViews>
    <sheetView zoomScale="75" zoomScaleNormal="75" zoomScalePageLayoutView="0" workbookViewId="0" topLeftCell="D106">
      <selection activeCell="A54" sqref="A54:IV56"/>
    </sheetView>
  </sheetViews>
  <sheetFormatPr defaultColWidth="11.421875" defaultRowHeight="12.75"/>
  <cols>
    <col min="1" max="1" width="15.140625" style="1" customWidth="1"/>
    <col min="2" max="2" width="84.7109375" style="21" customWidth="1"/>
    <col min="3" max="3" width="106.421875" style="21" customWidth="1"/>
    <col min="4" max="4" width="19.8515625" style="1" customWidth="1"/>
    <col min="5" max="5" width="33.28125" style="1" hidden="1" customWidth="1"/>
    <col min="6" max="6" width="22.57421875" style="2" customWidth="1"/>
    <col min="7" max="7" width="23.421875" style="2" customWidth="1"/>
    <col min="8" max="8" width="19.140625" style="2" customWidth="1"/>
    <col min="9" max="9" width="18.28125" style="2" bestFit="1" customWidth="1"/>
    <col min="10" max="10" width="11.421875" style="1" customWidth="1"/>
    <col min="11" max="11" width="11.57421875" style="1" bestFit="1" customWidth="1"/>
    <col min="12" max="16384" width="11.421875" style="1" customWidth="1"/>
  </cols>
  <sheetData>
    <row r="1" ht="15.75" customHeight="1"/>
    <row r="2" spans="7:9" ht="42.75" customHeight="1">
      <c r="G2" s="96" t="s">
        <v>9</v>
      </c>
      <c r="H2" s="96"/>
      <c r="I2" s="96"/>
    </row>
    <row r="3" spans="8:9" ht="12.75" customHeight="1">
      <c r="H3" s="97"/>
      <c r="I3" s="97"/>
    </row>
    <row r="4" spans="7:9" ht="21.75" customHeight="1">
      <c r="G4" s="98" t="s">
        <v>14</v>
      </c>
      <c r="H4" s="98"/>
      <c r="I4" s="98"/>
    </row>
    <row r="5" ht="15.75" customHeight="1"/>
    <row r="6" spans="1:8" ht="15.75" customHeight="1" thickBot="1">
      <c r="A6" s="3"/>
      <c r="B6" s="22"/>
      <c r="C6" s="22"/>
      <c r="D6" s="3"/>
      <c r="E6" s="3"/>
      <c r="F6" s="4"/>
      <c r="G6" s="4"/>
      <c r="H6" s="4"/>
    </row>
    <row r="7" spans="1:9" ht="21" customHeight="1" thickTop="1">
      <c r="A7" s="5" t="s">
        <v>1</v>
      </c>
      <c r="B7" s="23" t="s">
        <v>3</v>
      </c>
      <c r="C7" s="23" t="s">
        <v>285</v>
      </c>
      <c r="D7" s="11" t="s">
        <v>2</v>
      </c>
      <c r="E7" s="16" t="s">
        <v>11</v>
      </c>
      <c r="F7" s="6" t="s">
        <v>6</v>
      </c>
      <c r="G7" s="6" t="s">
        <v>7</v>
      </c>
      <c r="H7" s="6" t="s">
        <v>8</v>
      </c>
      <c r="I7" s="7" t="s">
        <v>0</v>
      </c>
    </row>
    <row r="8" spans="1:9" ht="21" customHeight="1">
      <c r="A8" s="27"/>
      <c r="B8" s="72" t="s">
        <v>15</v>
      </c>
      <c r="C8" s="72" t="s">
        <v>316</v>
      </c>
      <c r="D8" s="12">
        <v>83006884161</v>
      </c>
      <c r="E8" s="30" t="s">
        <v>16</v>
      </c>
      <c r="F8" s="8">
        <v>280.72</v>
      </c>
      <c r="G8" s="8">
        <v>8.38</v>
      </c>
      <c r="H8" s="8">
        <v>0.1</v>
      </c>
      <c r="I8" s="9">
        <f aca="true" t="shared" si="0" ref="I8:I58">SUM(F8:H8)</f>
        <v>289.20000000000005</v>
      </c>
    </row>
    <row r="9" spans="1:9" ht="21" customHeight="1">
      <c r="A9" s="27"/>
      <c r="B9" s="26" t="s">
        <v>17</v>
      </c>
      <c r="C9" s="26" t="s">
        <v>314</v>
      </c>
      <c r="D9" s="12">
        <v>83001699293</v>
      </c>
      <c r="E9" s="30" t="s">
        <v>19</v>
      </c>
      <c r="F9" s="8">
        <v>223.515</v>
      </c>
      <c r="G9" s="8">
        <v>6.53</v>
      </c>
      <c r="H9" s="8">
        <v>0.415</v>
      </c>
      <c r="I9" s="9">
        <f t="shared" si="0"/>
        <v>230.45999999999998</v>
      </c>
    </row>
    <row r="10" spans="1:9" ht="21" customHeight="1">
      <c r="A10" s="27"/>
      <c r="B10" s="26" t="s">
        <v>18</v>
      </c>
      <c r="C10" s="26" t="s">
        <v>324</v>
      </c>
      <c r="D10" s="12">
        <v>83002793469</v>
      </c>
      <c r="E10" s="30" t="s">
        <v>20</v>
      </c>
      <c r="F10" s="8"/>
      <c r="G10" s="8"/>
      <c r="H10" s="8"/>
      <c r="I10" s="9">
        <f t="shared" si="0"/>
        <v>0</v>
      </c>
    </row>
    <row r="11" spans="1:9" ht="21" customHeight="1">
      <c r="A11" s="27"/>
      <c r="B11" s="26" t="s">
        <v>21</v>
      </c>
      <c r="C11" s="26" t="s">
        <v>365</v>
      </c>
      <c r="D11" s="12">
        <v>83005319585</v>
      </c>
      <c r="E11" s="30" t="s">
        <v>22</v>
      </c>
      <c r="F11" s="8"/>
      <c r="G11" s="8"/>
      <c r="H11" s="8"/>
      <c r="I11" s="9">
        <f t="shared" si="0"/>
        <v>0</v>
      </c>
    </row>
    <row r="12" spans="1:9" ht="21" customHeight="1">
      <c r="A12" s="27"/>
      <c r="B12" s="26" t="s">
        <v>23</v>
      </c>
      <c r="C12" s="26" t="s">
        <v>325</v>
      </c>
      <c r="D12" s="61">
        <v>999395654431</v>
      </c>
      <c r="E12" s="30" t="s">
        <v>24</v>
      </c>
      <c r="F12" s="8"/>
      <c r="G12" s="8"/>
      <c r="H12" s="8"/>
      <c r="I12" s="9">
        <f t="shared" si="0"/>
        <v>0</v>
      </c>
    </row>
    <row r="13" spans="1:9" ht="21" customHeight="1">
      <c r="A13" s="27"/>
      <c r="B13" s="26" t="s">
        <v>25</v>
      </c>
      <c r="C13" s="26" t="s">
        <v>315</v>
      </c>
      <c r="D13" s="61">
        <v>999395655454</v>
      </c>
      <c r="E13" s="30" t="s">
        <v>26</v>
      </c>
      <c r="F13" s="8"/>
      <c r="G13" s="8"/>
      <c r="H13" s="8"/>
      <c r="I13" s="9">
        <f t="shared" si="0"/>
        <v>0</v>
      </c>
    </row>
    <row r="14" spans="1:9" ht="21" customHeight="1">
      <c r="A14" s="27"/>
      <c r="B14" s="26" t="s">
        <v>27</v>
      </c>
      <c r="C14" s="26" t="s">
        <v>326</v>
      </c>
      <c r="D14" s="61">
        <v>512012286</v>
      </c>
      <c r="E14" s="30" t="s">
        <v>28</v>
      </c>
      <c r="F14" s="8"/>
      <c r="G14" s="8"/>
      <c r="H14" s="8"/>
      <c r="I14" s="9">
        <f t="shared" si="0"/>
        <v>0</v>
      </c>
    </row>
    <row r="15" spans="1:9" ht="21" customHeight="1">
      <c r="A15" s="27"/>
      <c r="B15" s="26" t="s">
        <v>29</v>
      </c>
      <c r="C15" s="26" t="s">
        <v>327</v>
      </c>
      <c r="D15" s="61">
        <v>999395659634</v>
      </c>
      <c r="E15" s="30" t="s">
        <v>30</v>
      </c>
      <c r="F15" s="8"/>
      <c r="G15" s="8"/>
      <c r="H15" s="8"/>
      <c r="I15" s="9">
        <f t="shared" si="0"/>
        <v>0</v>
      </c>
    </row>
    <row r="16" spans="1:9" ht="21" customHeight="1">
      <c r="A16" s="27"/>
      <c r="B16" s="26" t="s">
        <v>31</v>
      </c>
      <c r="C16" s="26" t="s">
        <v>317</v>
      </c>
      <c r="D16" s="61">
        <v>999395660462</v>
      </c>
      <c r="E16" s="30" t="s">
        <v>32</v>
      </c>
      <c r="F16" s="8"/>
      <c r="G16" s="8"/>
      <c r="H16" s="8"/>
      <c r="I16" s="9">
        <f t="shared" si="0"/>
        <v>0</v>
      </c>
    </row>
    <row r="17" spans="1:9" ht="21" customHeight="1">
      <c r="A17" s="27"/>
      <c r="B17" s="26" t="s">
        <v>33</v>
      </c>
      <c r="C17" s="26" t="s">
        <v>366</v>
      </c>
      <c r="D17" s="61">
        <v>999395662284</v>
      </c>
      <c r="E17" s="30" t="s">
        <v>34</v>
      </c>
      <c r="F17" s="8"/>
      <c r="G17" s="8"/>
      <c r="H17" s="8"/>
      <c r="I17" s="9">
        <f t="shared" si="0"/>
        <v>0</v>
      </c>
    </row>
    <row r="18" spans="1:9" ht="21" customHeight="1">
      <c r="A18" s="27"/>
      <c r="B18" s="26" t="s">
        <v>35</v>
      </c>
      <c r="C18" s="26" t="s">
        <v>292</v>
      </c>
      <c r="D18" s="61">
        <v>999395662947</v>
      </c>
      <c r="E18" s="30" t="s">
        <v>36</v>
      </c>
      <c r="F18" s="8"/>
      <c r="G18" s="8"/>
      <c r="H18" s="8"/>
      <c r="I18" s="9">
        <f t="shared" si="0"/>
        <v>0</v>
      </c>
    </row>
    <row r="19" spans="1:9" ht="21" customHeight="1">
      <c r="A19" s="27"/>
      <c r="B19" s="26" t="s">
        <v>37</v>
      </c>
      <c r="C19" s="26" t="s">
        <v>369</v>
      </c>
      <c r="D19" s="61">
        <v>999395663410</v>
      </c>
      <c r="E19" s="30" t="s">
        <v>38</v>
      </c>
      <c r="F19" s="8"/>
      <c r="G19" s="8"/>
      <c r="H19" s="8"/>
      <c r="I19" s="9">
        <f t="shared" si="0"/>
        <v>0</v>
      </c>
    </row>
    <row r="20" spans="1:9" ht="21" customHeight="1">
      <c r="A20" s="27"/>
      <c r="B20" s="26" t="s">
        <v>39</v>
      </c>
      <c r="C20" s="26" t="s">
        <v>293</v>
      </c>
      <c r="D20" s="61">
        <v>999395665004</v>
      </c>
      <c r="E20" s="30" t="s">
        <v>40</v>
      </c>
      <c r="F20" s="8"/>
      <c r="G20" s="8"/>
      <c r="H20" s="8"/>
      <c r="I20" s="9">
        <f t="shared" si="0"/>
        <v>0</v>
      </c>
    </row>
    <row r="21" spans="1:12" s="29" customFormat="1" ht="21" customHeight="1">
      <c r="A21" s="27"/>
      <c r="B21" s="26" t="s">
        <v>41</v>
      </c>
      <c r="C21" s="26" t="s">
        <v>367</v>
      </c>
      <c r="D21" s="61">
        <v>999395665500</v>
      </c>
      <c r="E21" s="30" t="s">
        <v>42</v>
      </c>
      <c r="F21" s="8"/>
      <c r="G21" s="8"/>
      <c r="H21" s="8"/>
      <c r="I21" s="9">
        <f t="shared" si="0"/>
        <v>0</v>
      </c>
      <c r="J21" s="19"/>
      <c r="K21" s="19"/>
      <c r="L21" s="19"/>
    </row>
    <row r="22" spans="1:12" s="29" customFormat="1" ht="21" customHeight="1">
      <c r="A22" s="27"/>
      <c r="B22" s="26" t="s">
        <v>43</v>
      </c>
      <c r="C22" s="93"/>
      <c r="D22" s="61">
        <v>999395674678</v>
      </c>
      <c r="E22" s="30" t="s">
        <v>44</v>
      </c>
      <c r="F22" s="8"/>
      <c r="G22" s="8"/>
      <c r="H22" s="8"/>
      <c r="I22" s="9">
        <f t="shared" si="0"/>
        <v>0</v>
      </c>
      <c r="J22" s="19"/>
      <c r="K22" s="19"/>
      <c r="L22" s="19"/>
    </row>
    <row r="23" spans="1:9" s="19" customFormat="1" ht="21" customHeight="1">
      <c r="A23" s="27"/>
      <c r="B23" s="26" t="s">
        <v>45</v>
      </c>
      <c r="C23" s="26" t="s">
        <v>307</v>
      </c>
      <c r="D23" s="61">
        <v>999395675751</v>
      </c>
      <c r="E23" s="30" t="s">
        <v>46</v>
      </c>
      <c r="F23" s="8"/>
      <c r="G23" s="8"/>
      <c r="H23" s="8"/>
      <c r="I23" s="9">
        <f t="shared" si="0"/>
        <v>0</v>
      </c>
    </row>
    <row r="24" spans="1:12" s="29" customFormat="1" ht="21" customHeight="1">
      <c r="A24" s="27"/>
      <c r="B24" s="26" t="s">
        <v>47</v>
      </c>
      <c r="C24" s="26" t="s">
        <v>318</v>
      </c>
      <c r="D24" s="61">
        <v>999395676257</v>
      </c>
      <c r="E24" s="30" t="s">
        <v>48</v>
      </c>
      <c r="F24" s="8"/>
      <c r="G24" s="8"/>
      <c r="H24" s="8"/>
      <c r="I24" s="9">
        <f t="shared" si="0"/>
        <v>0</v>
      </c>
      <c r="J24" s="19"/>
      <c r="K24" s="19"/>
      <c r="L24" s="19"/>
    </row>
    <row r="25" spans="1:12" s="29" customFormat="1" ht="21" customHeight="1">
      <c r="A25" s="27"/>
      <c r="B25" s="26" t="s">
        <v>49</v>
      </c>
      <c r="C25" s="26" t="s">
        <v>328</v>
      </c>
      <c r="D25" s="61">
        <v>999395676905</v>
      </c>
      <c r="E25" s="30" t="s">
        <v>50</v>
      </c>
      <c r="F25" s="8"/>
      <c r="G25" s="8"/>
      <c r="H25" s="8"/>
      <c r="I25" s="9">
        <f t="shared" si="0"/>
        <v>0</v>
      </c>
      <c r="J25" s="19"/>
      <c r="K25" s="19"/>
      <c r="L25" s="19"/>
    </row>
    <row r="26" spans="1:12" ht="21" customHeight="1">
      <c r="A26" s="27"/>
      <c r="B26" s="26" t="s">
        <v>51</v>
      </c>
      <c r="C26" s="93"/>
      <c r="D26" s="61">
        <v>999395677339</v>
      </c>
      <c r="E26" s="30" t="s">
        <v>52</v>
      </c>
      <c r="F26" s="8"/>
      <c r="G26" s="8"/>
      <c r="H26" s="8"/>
      <c r="I26" s="9">
        <f t="shared" si="0"/>
        <v>0</v>
      </c>
      <c r="J26" s="19"/>
      <c r="K26" s="19"/>
      <c r="L26" s="19"/>
    </row>
    <row r="27" spans="1:12" ht="21" customHeight="1">
      <c r="A27" s="27"/>
      <c r="B27" s="26" t="s">
        <v>53</v>
      </c>
      <c r="C27" s="93"/>
      <c r="D27" s="61">
        <v>999395680029</v>
      </c>
      <c r="E27" s="30" t="s">
        <v>54</v>
      </c>
      <c r="F27" s="8"/>
      <c r="G27" s="8"/>
      <c r="H27" s="8"/>
      <c r="I27" s="9">
        <f t="shared" si="0"/>
        <v>0</v>
      </c>
      <c r="J27" s="19"/>
      <c r="K27" s="19"/>
      <c r="L27" s="19"/>
    </row>
    <row r="28" spans="1:12" ht="21" customHeight="1">
      <c r="A28" s="27"/>
      <c r="B28" s="26" t="s">
        <v>55</v>
      </c>
      <c r="C28" s="26" t="s">
        <v>294</v>
      </c>
      <c r="D28" s="61">
        <v>999395682858</v>
      </c>
      <c r="E28" s="30" t="s">
        <v>56</v>
      </c>
      <c r="F28" s="8"/>
      <c r="G28" s="8"/>
      <c r="H28" s="8"/>
      <c r="I28" s="9">
        <f t="shared" si="0"/>
        <v>0</v>
      </c>
      <c r="J28" s="19"/>
      <c r="K28" s="19"/>
      <c r="L28" s="19"/>
    </row>
    <row r="29" spans="1:12" ht="21" customHeight="1">
      <c r="A29" s="27"/>
      <c r="B29" s="26" t="s">
        <v>57</v>
      </c>
      <c r="C29" s="26" t="s">
        <v>295</v>
      </c>
      <c r="D29" s="12">
        <v>512095448</v>
      </c>
      <c r="E29" s="30" t="s">
        <v>58</v>
      </c>
      <c r="F29" s="8"/>
      <c r="G29" s="8"/>
      <c r="H29" s="8"/>
      <c r="I29" s="9">
        <f t="shared" si="0"/>
        <v>0</v>
      </c>
      <c r="J29" s="19"/>
      <c r="K29" s="19"/>
      <c r="L29" s="19"/>
    </row>
    <row r="30" spans="1:12" ht="21" customHeight="1">
      <c r="A30" s="27"/>
      <c r="B30" s="26" t="s">
        <v>59</v>
      </c>
      <c r="C30" s="26" t="s">
        <v>296</v>
      </c>
      <c r="D30" s="61">
        <v>999395695033</v>
      </c>
      <c r="E30" s="30" t="s">
        <v>60</v>
      </c>
      <c r="F30" s="8"/>
      <c r="G30" s="8"/>
      <c r="H30" s="8"/>
      <c r="I30" s="9">
        <f t="shared" si="0"/>
        <v>0</v>
      </c>
      <c r="J30" s="19"/>
      <c r="K30" s="19"/>
      <c r="L30" s="19"/>
    </row>
    <row r="31" spans="1:12" ht="21" customHeight="1">
      <c r="A31" s="27"/>
      <c r="B31" s="26" t="s">
        <v>61</v>
      </c>
      <c r="C31" s="26" t="s">
        <v>296</v>
      </c>
      <c r="D31" s="61">
        <v>999395696742</v>
      </c>
      <c r="E31" s="30" t="s">
        <v>62</v>
      </c>
      <c r="F31" s="8"/>
      <c r="G31" s="8"/>
      <c r="H31" s="8"/>
      <c r="I31" s="9">
        <f t="shared" si="0"/>
        <v>0</v>
      </c>
      <c r="J31" s="19"/>
      <c r="K31" s="19"/>
      <c r="L31" s="19"/>
    </row>
    <row r="32" spans="1:12" ht="21" customHeight="1">
      <c r="A32" s="27"/>
      <c r="B32" s="26" t="s">
        <v>63</v>
      </c>
      <c r="C32" s="26" t="s">
        <v>308</v>
      </c>
      <c r="D32" s="61">
        <v>999395697615</v>
      </c>
      <c r="E32" s="30" t="s">
        <v>64</v>
      </c>
      <c r="F32" s="8">
        <f>890.63/2</f>
        <v>445.315</v>
      </c>
      <c r="G32" s="8">
        <f>26.37/2</f>
        <v>13.185</v>
      </c>
      <c r="H32" s="8">
        <f>0.81/2</f>
        <v>0.405</v>
      </c>
      <c r="I32" s="9">
        <f t="shared" si="0"/>
        <v>458.905</v>
      </c>
      <c r="J32" s="19"/>
      <c r="K32" s="19"/>
      <c r="L32" s="19"/>
    </row>
    <row r="33" spans="1:12" ht="21" customHeight="1">
      <c r="A33" s="27"/>
      <c r="B33" s="26" t="s">
        <v>65</v>
      </c>
      <c r="C33" s="26" t="s">
        <v>297</v>
      </c>
      <c r="D33" s="61">
        <v>999395698321</v>
      </c>
      <c r="E33" s="30" t="s">
        <v>66</v>
      </c>
      <c r="F33" s="8">
        <f>907.47/2</f>
        <v>453.735</v>
      </c>
      <c r="G33" s="8">
        <f>26.88/2</f>
        <v>13.44</v>
      </c>
      <c r="H33" s="8">
        <f>0.8/2</f>
        <v>0.4</v>
      </c>
      <c r="I33" s="9">
        <f t="shared" si="0"/>
        <v>467.575</v>
      </c>
      <c r="J33" s="19"/>
      <c r="K33" s="19"/>
      <c r="L33" s="19"/>
    </row>
    <row r="34" spans="1:12" s="20" customFormat="1" ht="21" customHeight="1">
      <c r="A34" s="27"/>
      <c r="B34" s="26" t="s">
        <v>67</v>
      </c>
      <c r="C34" s="26" t="s">
        <v>309</v>
      </c>
      <c r="D34" s="62">
        <v>999395698661</v>
      </c>
      <c r="E34" s="31" t="s">
        <v>68</v>
      </c>
      <c r="F34" s="18">
        <f>355.83/2</f>
        <v>177.915</v>
      </c>
      <c r="G34" s="18">
        <f>10.34/2</f>
        <v>5.17</v>
      </c>
      <c r="H34" s="18">
        <f>0.79/2</f>
        <v>0.395</v>
      </c>
      <c r="I34" s="9">
        <f t="shared" si="0"/>
        <v>183.48</v>
      </c>
      <c r="J34" s="19"/>
      <c r="K34" s="19"/>
      <c r="L34" s="19"/>
    </row>
    <row r="35" spans="1:12" ht="21" customHeight="1">
      <c r="A35" s="27"/>
      <c r="B35" s="26" t="s">
        <v>69</v>
      </c>
      <c r="C35" s="26"/>
      <c r="D35" s="61">
        <v>999395699042</v>
      </c>
      <c r="E35" s="30" t="s">
        <v>70</v>
      </c>
      <c r="F35" s="8">
        <f>810.04/2</f>
        <v>405.02</v>
      </c>
      <c r="G35" s="8">
        <f>23.96/2</f>
        <v>11.98</v>
      </c>
      <c r="H35" s="8">
        <f>0.8/2</f>
        <v>0.4</v>
      </c>
      <c r="I35" s="9">
        <f t="shared" si="0"/>
        <v>417.4</v>
      </c>
      <c r="J35" s="19"/>
      <c r="K35" s="19"/>
      <c r="L35" s="19"/>
    </row>
    <row r="36" spans="1:12" ht="21" customHeight="1">
      <c r="A36" s="27"/>
      <c r="B36" s="26" t="s">
        <v>71</v>
      </c>
      <c r="C36" s="93"/>
      <c r="D36" s="61">
        <v>999395699192</v>
      </c>
      <c r="E36" s="30" t="s">
        <v>72</v>
      </c>
      <c r="F36" s="18">
        <f>425.02/2</f>
        <v>212.51</v>
      </c>
      <c r="G36" s="18">
        <f>12.42/2</f>
        <v>6.21</v>
      </c>
      <c r="H36" s="18">
        <f>0.77/2</f>
        <v>0.385</v>
      </c>
      <c r="I36" s="87">
        <f t="shared" si="0"/>
        <v>219.105</v>
      </c>
      <c r="J36" s="19"/>
      <c r="K36" s="19"/>
      <c r="L36" s="19"/>
    </row>
    <row r="37" spans="1:12" ht="21" customHeight="1">
      <c r="A37" s="27"/>
      <c r="B37" s="26" t="s">
        <v>73</v>
      </c>
      <c r="C37" s="93"/>
      <c r="D37" s="61">
        <v>999395699382</v>
      </c>
      <c r="E37" s="30" t="s">
        <v>74</v>
      </c>
      <c r="F37" s="8">
        <f>491.56/2</f>
        <v>245.78</v>
      </c>
      <c r="G37" s="8">
        <f>14.42/2</f>
        <v>7.21</v>
      </c>
      <c r="H37" s="8">
        <f>0.76/2</f>
        <v>0.38</v>
      </c>
      <c r="I37" s="9">
        <f t="shared" si="0"/>
        <v>253.37</v>
      </c>
      <c r="J37" s="19"/>
      <c r="K37" s="19"/>
      <c r="L37" s="19"/>
    </row>
    <row r="38" spans="1:12" ht="21" customHeight="1">
      <c r="A38" s="27"/>
      <c r="B38" s="26" t="s">
        <v>75</v>
      </c>
      <c r="C38" s="26" t="s">
        <v>298</v>
      </c>
      <c r="D38" s="61">
        <v>999395699631</v>
      </c>
      <c r="E38" s="30" t="s">
        <v>76</v>
      </c>
      <c r="F38" s="8">
        <f>142.01/2</f>
        <v>71.005</v>
      </c>
      <c r="G38" s="8">
        <f>3.94/2</f>
        <v>1.97</v>
      </c>
      <c r="H38" s="8">
        <f>0.75/2</f>
        <v>0.375</v>
      </c>
      <c r="I38" s="9">
        <f t="shared" si="0"/>
        <v>73.35</v>
      </c>
      <c r="J38" s="19"/>
      <c r="K38" s="19"/>
      <c r="L38" s="19"/>
    </row>
    <row r="39" spans="1:12" ht="21" customHeight="1">
      <c r="A39" s="27"/>
      <c r="B39" s="26" t="s">
        <v>77</v>
      </c>
      <c r="C39" s="93"/>
      <c r="D39" s="61">
        <v>999395699855</v>
      </c>
      <c r="E39" s="30" t="s">
        <v>78</v>
      </c>
      <c r="F39" s="8">
        <f>363.43/2</f>
        <v>181.715</v>
      </c>
      <c r="G39" s="8">
        <f>10.56/2</f>
        <v>5.28</v>
      </c>
      <c r="H39" s="8">
        <f>0.79/2</f>
        <v>0.395</v>
      </c>
      <c r="I39" s="9">
        <f t="shared" si="0"/>
        <v>187.39000000000001</v>
      </c>
      <c r="J39" s="19"/>
      <c r="K39" s="19"/>
      <c r="L39" s="19"/>
    </row>
    <row r="40" spans="1:12" ht="21" customHeight="1">
      <c r="A40" s="27"/>
      <c r="B40" s="26" t="s">
        <v>79</v>
      </c>
      <c r="C40" s="26" t="s">
        <v>299</v>
      </c>
      <c r="D40" s="61">
        <v>999395699914</v>
      </c>
      <c r="E40" s="30" t="s">
        <v>80</v>
      </c>
      <c r="F40" s="8">
        <f>383.59/2</f>
        <v>191.795</v>
      </c>
      <c r="G40" s="8">
        <f>11.18/2</f>
        <v>5.59</v>
      </c>
      <c r="H40" s="8">
        <f>0.77/2</f>
        <v>0.385</v>
      </c>
      <c r="I40" s="9">
        <f t="shared" si="0"/>
        <v>197.76999999999998</v>
      </c>
      <c r="J40" s="19"/>
      <c r="K40" s="19"/>
      <c r="L40" s="19"/>
    </row>
    <row r="41" spans="1:12" ht="21" customHeight="1">
      <c r="A41" s="27"/>
      <c r="B41" s="26" t="s">
        <v>81</v>
      </c>
      <c r="C41" s="26" t="s">
        <v>329</v>
      </c>
      <c r="D41" s="61">
        <v>999395720675</v>
      </c>
      <c r="E41" s="30" t="s">
        <v>82</v>
      </c>
      <c r="F41" s="8">
        <f>520.69/2</f>
        <v>260.345</v>
      </c>
      <c r="G41" s="8">
        <f>15.29/2</f>
        <v>7.645</v>
      </c>
      <c r="H41" s="8">
        <f>0.77/2</f>
        <v>0.385</v>
      </c>
      <c r="I41" s="9">
        <f t="shared" si="0"/>
        <v>268.375</v>
      </c>
      <c r="J41" s="19"/>
      <c r="K41" s="19"/>
      <c r="L41" s="19"/>
    </row>
    <row r="42" spans="1:12" ht="21" customHeight="1">
      <c r="A42" s="27"/>
      <c r="B42" s="26" t="s">
        <v>83</v>
      </c>
      <c r="C42" s="26" t="s">
        <v>300</v>
      </c>
      <c r="D42" s="61">
        <v>999395721493</v>
      </c>
      <c r="E42" s="30" t="s">
        <v>84</v>
      </c>
      <c r="F42" s="8">
        <f>569.94/2</f>
        <v>284.97</v>
      </c>
      <c r="G42" s="8">
        <f>16.78/2</f>
        <v>8.39</v>
      </c>
      <c r="H42" s="8">
        <f>0.73/2</f>
        <v>0.365</v>
      </c>
      <c r="I42" s="9">
        <f t="shared" si="0"/>
        <v>293.725</v>
      </c>
      <c r="J42" s="19"/>
      <c r="K42" s="19"/>
      <c r="L42" s="19"/>
    </row>
    <row r="43" spans="1:12" ht="21" customHeight="1">
      <c r="A43" s="27"/>
      <c r="B43" s="26" t="s">
        <v>85</v>
      </c>
      <c r="C43" s="26"/>
      <c r="D43" s="61">
        <v>999395728957</v>
      </c>
      <c r="E43" s="30" t="s">
        <v>86</v>
      </c>
      <c r="F43" s="8">
        <f>184.63/2</f>
        <v>92.315</v>
      </c>
      <c r="G43" s="8">
        <f>5.21/2</f>
        <v>2.605</v>
      </c>
      <c r="H43" s="8">
        <f>0.76/2</f>
        <v>0.38</v>
      </c>
      <c r="I43" s="9">
        <f t="shared" si="0"/>
        <v>95.3</v>
      </c>
      <c r="J43" s="19"/>
      <c r="K43" s="19"/>
      <c r="L43" s="19"/>
    </row>
    <row r="44" spans="1:12" ht="21" customHeight="1">
      <c r="A44" s="27"/>
      <c r="B44" s="26" t="s">
        <v>87</v>
      </c>
      <c r="C44" s="26" t="s">
        <v>330</v>
      </c>
      <c r="D44" s="61">
        <v>999395729357</v>
      </c>
      <c r="E44" s="30" t="s">
        <v>88</v>
      </c>
      <c r="F44" s="8">
        <f>257.29/2</f>
        <v>128.645</v>
      </c>
      <c r="G44" s="8">
        <f>7.36/2</f>
        <v>3.68</v>
      </c>
      <c r="H44" s="8">
        <f>0.83/2</f>
        <v>0.415</v>
      </c>
      <c r="I44" s="9">
        <f t="shared" si="0"/>
        <v>132.74</v>
      </c>
      <c r="J44" s="19"/>
      <c r="K44" s="19"/>
      <c r="L44" s="19"/>
    </row>
    <row r="45" spans="1:12" ht="21" customHeight="1">
      <c r="A45" s="27"/>
      <c r="B45" s="26" t="s">
        <v>89</v>
      </c>
      <c r="C45" s="93"/>
      <c r="D45" s="61">
        <v>999395729815</v>
      </c>
      <c r="E45" s="30" t="s">
        <v>90</v>
      </c>
      <c r="F45" s="8">
        <f>320.54/2</f>
        <v>160.27</v>
      </c>
      <c r="G45" s="8">
        <f>9.28/2</f>
        <v>4.64</v>
      </c>
      <c r="H45" s="8">
        <f>0.79/2</f>
        <v>0.395</v>
      </c>
      <c r="I45" s="9">
        <f t="shared" si="0"/>
        <v>165.305</v>
      </c>
      <c r="J45" s="19"/>
      <c r="K45" s="19"/>
      <c r="L45" s="19"/>
    </row>
    <row r="46" spans="1:12" ht="21" customHeight="1">
      <c r="A46" s="27"/>
      <c r="B46" s="26" t="s">
        <v>94</v>
      </c>
      <c r="C46" s="26" t="s">
        <v>331</v>
      </c>
      <c r="D46" s="61">
        <v>999395730546</v>
      </c>
      <c r="E46" s="30" t="s">
        <v>91</v>
      </c>
      <c r="F46" s="8">
        <f>180.8/2</f>
        <v>90.4</v>
      </c>
      <c r="G46" s="8">
        <f>5.09/2</f>
        <v>2.545</v>
      </c>
      <c r="H46" s="8">
        <f>0.79/2</f>
        <v>0.395</v>
      </c>
      <c r="I46" s="9">
        <f t="shared" si="0"/>
        <v>93.34</v>
      </c>
      <c r="J46" s="19"/>
      <c r="K46" s="19"/>
      <c r="L46" s="19"/>
    </row>
    <row r="47" spans="1:12" ht="21" customHeight="1">
      <c r="A47" s="27"/>
      <c r="B47" s="26" t="s">
        <v>92</v>
      </c>
      <c r="C47" s="26" t="s">
        <v>319</v>
      </c>
      <c r="D47" s="61">
        <v>999395731005</v>
      </c>
      <c r="E47" s="32" t="s">
        <v>93</v>
      </c>
      <c r="F47" s="8">
        <f>270.47/2</f>
        <v>135.235</v>
      </c>
      <c r="G47" s="8">
        <f>7.79/2</f>
        <v>3.895</v>
      </c>
      <c r="H47" s="8">
        <f>0.76/2</f>
        <v>0.38</v>
      </c>
      <c r="I47" s="9">
        <f t="shared" si="0"/>
        <v>139.51000000000002</v>
      </c>
      <c r="J47" s="19"/>
      <c r="K47" s="19"/>
      <c r="L47" s="19"/>
    </row>
    <row r="48" spans="1:12" ht="21" customHeight="1">
      <c r="A48" s="27"/>
      <c r="B48" s="26" t="s">
        <v>95</v>
      </c>
      <c r="C48" s="93"/>
      <c r="D48" s="61">
        <v>999395731797</v>
      </c>
      <c r="E48" s="30" t="s">
        <v>96</v>
      </c>
      <c r="F48" s="8">
        <f>124.05/2</f>
        <v>62.025</v>
      </c>
      <c r="G48" s="8">
        <f>3.37/2</f>
        <v>1.685</v>
      </c>
      <c r="H48" s="8">
        <f>0.81/2</f>
        <v>0.405</v>
      </c>
      <c r="I48" s="9">
        <f t="shared" si="0"/>
        <v>64.115</v>
      </c>
      <c r="J48" s="19"/>
      <c r="K48" s="19"/>
      <c r="L48" s="19"/>
    </row>
    <row r="49" spans="1:12" ht="21" customHeight="1">
      <c r="A49" s="27"/>
      <c r="B49" s="26" t="s">
        <v>97</v>
      </c>
      <c r="C49" s="26"/>
      <c r="D49" s="61">
        <v>999395850272</v>
      </c>
      <c r="E49" s="30" t="s">
        <v>98</v>
      </c>
      <c r="F49" s="8"/>
      <c r="G49" s="8"/>
      <c r="H49" s="8"/>
      <c r="I49" s="9">
        <f t="shared" si="0"/>
        <v>0</v>
      </c>
      <c r="J49" s="19"/>
      <c r="K49" s="19"/>
      <c r="L49" s="19"/>
    </row>
    <row r="50" spans="1:12" ht="21" customHeight="1">
      <c r="A50" s="27"/>
      <c r="B50" s="26" t="s">
        <v>99</v>
      </c>
      <c r="C50" s="93"/>
      <c r="D50" s="61">
        <v>999395869847</v>
      </c>
      <c r="E50" s="30" t="s">
        <v>100</v>
      </c>
      <c r="F50" s="8"/>
      <c r="G50" s="8"/>
      <c r="H50" s="8"/>
      <c r="I50" s="9">
        <f t="shared" si="0"/>
        <v>0</v>
      </c>
      <c r="J50" s="19"/>
      <c r="K50" s="19"/>
      <c r="L50" s="19"/>
    </row>
    <row r="51" spans="1:12" ht="21" customHeight="1">
      <c r="A51" s="27"/>
      <c r="B51" s="26" t="s">
        <v>101</v>
      </c>
      <c r="C51" s="26" t="s">
        <v>371</v>
      </c>
      <c r="D51" s="12">
        <v>83007836944</v>
      </c>
      <c r="E51" s="30" t="s">
        <v>102</v>
      </c>
      <c r="F51" s="8"/>
      <c r="G51" s="8"/>
      <c r="H51" s="8"/>
      <c r="I51" s="9">
        <f t="shared" si="0"/>
        <v>0</v>
      </c>
      <c r="J51" s="19"/>
      <c r="K51" s="19"/>
      <c r="L51" s="19"/>
    </row>
    <row r="52" spans="1:12" ht="21" customHeight="1">
      <c r="A52" s="27"/>
      <c r="B52" s="26" t="s">
        <v>103</v>
      </c>
      <c r="C52" s="26" t="s">
        <v>286</v>
      </c>
      <c r="D52" s="61">
        <v>999418107083</v>
      </c>
      <c r="E52" s="30" t="s">
        <v>104</v>
      </c>
      <c r="F52" s="8">
        <f>761.37/2</f>
        <v>380.685</v>
      </c>
      <c r="G52" s="8">
        <f>22.5/2</f>
        <v>11.25</v>
      </c>
      <c r="H52" s="8">
        <f>0.79/2</f>
        <v>0.395</v>
      </c>
      <c r="I52" s="9">
        <f t="shared" si="0"/>
        <v>392.33</v>
      </c>
      <c r="J52" s="19"/>
      <c r="K52" s="19"/>
      <c r="L52" s="19"/>
    </row>
    <row r="53" spans="1:12" ht="21" customHeight="1">
      <c r="A53" s="27"/>
      <c r="B53" s="26" t="s">
        <v>105</v>
      </c>
      <c r="C53" s="26" t="s">
        <v>332</v>
      </c>
      <c r="D53" s="61">
        <v>999418108530</v>
      </c>
      <c r="E53" s="30" t="s">
        <v>106</v>
      </c>
      <c r="F53" s="8"/>
      <c r="G53" s="8"/>
      <c r="H53" s="8"/>
      <c r="I53" s="9">
        <f t="shared" si="0"/>
        <v>0</v>
      </c>
      <c r="J53" s="19"/>
      <c r="K53" s="19"/>
      <c r="L53" s="19"/>
    </row>
    <row r="54" spans="1:12" ht="21" customHeight="1">
      <c r="A54" s="27"/>
      <c r="B54" s="26" t="s">
        <v>107</v>
      </c>
      <c r="C54" s="26" t="s">
        <v>302</v>
      </c>
      <c r="D54" s="61">
        <v>999444028261</v>
      </c>
      <c r="E54" s="30" t="s">
        <v>108</v>
      </c>
      <c r="F54" s="8"/>
      <c r="G54" s="8"/>
      <c r="H54" s="8"/>
      <c r="I54" s="9">
        <f t="shared" si="0"/>
        <v>0</v>
      </c>
      <c r="J54" s="19"/>
      <c r="K54" s="19"/>
      <c r="L54" s="19"/>
    </row>
    <row r="55" spans="1:12" ht="21" customHeight="1">
      <c r="A55" s="27"/>
      <c r="B55" s="26" t="s">
        <v>109</v>
      </c>
      <c r="C55" s="26" t="s">
        <v>313</v>
      </c>
      <c r="D55" s="12">
        <v>83000769293</v>
      </c>
      <c r="E55" s="30" t="s">
        <v>110</v>
      </c>
      <c r="F55" s="8"/>
      <c r="G55" s="8"/>
      <c r="H55" s="8"/>
      <c r="I55" s="9">
        <f t="shared" si="0"/>
        <v>0</v>
      </c>
      <c r="J55" s="19"/>
      <c r="K55" s="19"/>
      <c r="L55" s="19"/>
    </row>
    <row r="56" spans="1:12" s="29" customFormat="1" ht="21" customHeight="1">
      <c r="A56" s="27"/>
      <c r="B56" s="35" t="s">
        <v>125</v>
      </c>
      <c r="C56" s="94"/>
      <c r="D56" s="36">
        <v>60006203645</v>
      </c>
      <c r="E56" s="37" t="s">
        <v>126</v>
      </c>
      <c r="F56" s="8"/>
      <c r="G56" s="8"/>
      <c r="H56" s="8"/>
      <c r="I56" s="9">
        <f t="shared" si="0"/>
        <v>0</v>
      </c>
      <c r="J56" s="19"/>
      <c r="K56" s="19"/>
      <c r="L56" s="19"/>
    </row>
    <row r="57" spans="1:12" ht="21" customHeight="1">
      <c r="A57" s="27"/>
      <c r="B57" s="26" t="s">
        <v>127</v>
      </c>
      <c r="C57" s="93"/>
      <c r="D57" s="12">
        <v>60007966411</v>
      </c>
      <c r="E57" s="30" t="s">
        <v>128</v>
      </c>
      <c r="F57" s="8"/>
      <c r="G57" s="8"/>
      <c r="H57" s="8"/>
      <c r="I57" s="9">
        <f t="shared" si="0"/>
        <v>0</v>
      </c>
      <c r="J57" s="19"/>
      <c r="K57" s="19"/>
      <c r="L57" s="19"/>
    </row>
    <row r="58" spans="1:12" ht="21" customHeight="1">
      <c r="A58" s="27"/>
      <c r="B58" s="26" t="s">
        <v>129</v>
      </c>
      <c r="C58" s="26" t="s">
        <v>289</v>
      </c>
      <c r="D58" s="12">
        <v>60006643135</v>
      </c>
      <c r="E58" s="30" t="s">
        <v>130</v>
      </c>
      <c r="F58" s="8">
        <f>112.36/2</f>
        <v>56.18</v>
      </c>
      <c r="G58" s="8">
        <f>3.34/2</f>
        <v>1.67</v>
      </c>
      <c r="H58" s="8">
        <f>0.08/2</f>
        <v>0.04</v>
      </c>
      <c r="I58" s="9">
        <f t="shared" si="0"/>
        <v>57.89</v>
      </c>
      <c r="J58" s="19"/>
      <c r="K58" s="19"/>
      <c r="L58" s="19"/>
    </row>
    <row r="59" spans="1:12" ht="21" customHeight="1">
      <c r="A59" s="27"/>
      <c r="B59" s="26" t="s">
        <v>131</v>
      </c>
      <c r="C59" s="93"/>
      <c r="D59" s="12">
        <v>60007843244</v>
      </c>
      <c r="E59" s="30" t="s">
        <v>132</v>
      </c>
      <c r="F59" s="8">
        <f>111.96/2</f>
        <v>55.98</v>
      </c>
      <c r="G59" s="8">
        <f>3.33/2</f>
        <v>1.665</v>
      </c>
      <c r="H59" s="8">
        <f>0.08/2</f>
        <v>0.04</v>
      </c>
      <c r="I59" s="9">
        <f aca="true" t="shared" si="1" ref="I59:I119">SUM(F59:H59)</f>
        <v>57.684999999999995</v>
      </c>
      <c r="J59" s="19"/>
      <c r="K59" s="19"/>
      <c r="L59" s="19"/>
    </row>
    <row r="60" spans="1:12" ht="21" customHeight="1">
      <c r="A60" s="27"/>
      <c r="B60" s="26" t="s">
        <v>133</v>
      </c>
      <c r="C60" s="26" t="s">
        <v>322</v>
      </c>
      <c r="D60" s="12">
        <v>60007843069</v>
      </c>
      <c r="E60" s="30" t="s">
        <v>134</v>
      </c>
      <c r="F60" s="8">
        <f>70.17/2</f>
        <v>35.085</v>
      </c>
      <c r="G60" s="8">
        <f>2.02/2</f>
        <v>1.01</v>
      </c>
      <c r="H60" s="8">
        <f>0.2/2</f>
        <v>0.1</v>
      </c>
      <c r="I60" s="9">
        <f t="shared" si="1"/>
        <v>36.195</v>
      </c>
      <c r="J60" s="19"/>
      <c r="K60" s="19"/>
      <c r="L60" s="19"/>
    </row>
    <row r="61" spans="1:12" ht="21" customHeight="1">
      <c r="A61" s="27"/>
      <c r="B61" s="26" t="s">
        <v>135</v>
      </c>
      <c r="C61" s="26" t="s">
        <v>353</v>
      </c>
      <c r="D61" s="12">
        <v>60007843073</v>
      </c>
      <c r="E61" s="30" t="s">
        <v>136</v>
      </c>
      <c r="F61" s="8">
        <f>119.95/2</f>
        <v>59.975</v>
      </c>
      <c r="G61" s="8">
        <f>3.57/2</f>
        <v>1.785</v>
      </c>
      <c r="H61" s="8">
        <f>0.07/2</f>
        <v>0.035</v>
      </c>
      <c r="I61" s="9">
        <f t="shared" si="1"/>
        <v>61.794999999999995</v>
      </c>
      <c r="J61" s="19"/>
      <c r="K61" s="19"/>
      <c r="L61" s="19"/>
    </row>
    <row r="62" spans="1:12" ht="21" customHeight="1">
      <c r="A62" s="27"/>
      <c r="B62" s="26" t="s">
        <v>137</v>
      </c>
      <c r="C62" s="93"/>
      <c r="D62" s="12">
        <v>60007843356</v>
      </c>
      <c r="E62" s="30" t="s">
        <v>138</v>
      </c>
      <c r="F62" s="8">
        <f>47.26/2</f>
        <v>23.63</v>
      </c>
      <c r="G62" s="8">
        <f>1.38/2</f>
        <v>0.69</v>
      </c>
      <c r="H62" s="8">
        <f>0.08/2</f>
        <v>0.04</v>
      </c>
      <c r="I62" s="9">
        <f t="shared" si="1"/>
        <v>24.36</v>
      </c>
      <c r="J62" s="19"/>
      <c r="K62" s="19"/>
      <c r="L62" s="19"/>
    </row>
    <row r="63" spans="1:12" ht="21" customHeight="1">
      <c r="A63" s="27"/>
      <c r="B63" s="26" t="s">
        <v>139</v>
      </c>
      <c r="C63" s="93"/>
      <c r="D63" s="12">
        <v>60007847274</v>
      </c>
      <c r="E63" s="30" t="s">
        <v>140</v>
      </c>
      <c r="F63" s="8">
        <f>76.66/2</f>
        <v>38.33</v>
      </c>
      <c r="G63" s="8">
        <f>2.21/2</f>
        <v>1.105</v>
      </c>
      <c r="H63" s="8">
        <f>0.2/2</f>
        <v>0.1</v>
      </c>
      <c r="I63" s="9">
        <f t="shared" si="1"/>
        <v>39.535</v>
      </c>
      <c r="J63" s="19"/>
      <c r="K63" s="19"/>
      <c r="L63" s="19"/>
    </row>
    <row r="64" spans="1:12" ht="21" customHeight="1">
      <c r="A64" s="27"/>
      <c r="B64" s="26" t="s">
        <v>141</v>
      </c>
      <c r="C64" s="93"/>
      <c r="D64" s="12">
        <v>60007847482</v>
      </c>
      <c r="E64" s="30" t="s">
        <v>142</v>
      </c>
      <c r="F64" s="8"/>
      <c r="G64" s="8"/>
      <c r="H64" s="8"/>
      <c r="I64" s="9">
        <f t="shared" si="1"/>
        <v>0</v>
      </c>
      <c r="J64" s="19"/>
      <c r="K64" s="19"/>
      <c r="L64" s="19"/>
    </row>
    <row r="65" spans="1:12" s="29" customFormat="1" ht="21" customHeight="1">
      <c r="A65" s="27"/>
      <c r="B65" s="26" t="s">
        <v>143</v>
      </c>
      <c r="C65" s="26" t="s">
        <v>323</v>
      </c>
      <c r="D65" s="12">
        <v>60007858040</v>
      </c>
      <c r="E65" s="78" t="s">
        <v>144</v>
      </c>
      <c r="F65" s="8"/>
      <c r="G65" s="8"/>
      <c r="H65" s="8"/>
      <c r="I65" s="9">
        <f t="shared" si="1"/>
        <v>0</v>
      </c>
      <c r="J65" s="19"/>
      <c r="K65" s="19"/>
      <c r="L65" s="19"/>
    </row>
    <row r="66" spans="1:12" s="20" customFormat="1" ht="21" customHeight="1">
      <c r="A66" s="27"/>
      <c r="B66" s="43" t="s">
        <v>145</v>
      </c>
      <c r="C66" s="43" t="s">
        <v>358</v>
      </c>
      <c r="D66" s="44">
        <v>60007889355</v>
      </c>
      <c r="E66" s="37" t="s">
        <v>146</v>
      </c>
      <c r="F66" s="18">
        <f>55.23/2</f>
        <v>27.615</v>
      </c>
      <c r="G66" s="18">
        <f>1.62/2</f>
        <v>0.81</v>
      </c>
      <c r="H66" s="18">
        <f>0.08/2</f>
        <v>0.04</v>
      </c>
      <c r="I66" s="9">
        <f t="shared" si="1"/>
        <v>28.464999999999996</v>
      </c>
      <c r="J66" s="19"/>
      <c r="K66" s="19"/>
      <c r="L66" s="19"/>
    </row>
    <row r="67" spans="1:12" s="20" customFormat="1" ht="21" customHeight="1">
      <c r="A67" s="39"/>
      <c r="B67" s="41" t="s">
        <v>147</v>
      </c>
      <c r="C67" s="41" t="s">
        <v>311</v>
      </c>
      <c r="D67" s="40">
        <v>60007899611</v>
      </c>
      <c r="E67" s="42" t="s">
        <v>148</v>
      </c>
      <c r="F67" s="18"/>
      <c r="G67" s="18"/>
      <c r="H67" s="18"/>
      <c r="I67" s="9">
        <f t="shared" si="1"/>
        <v>0</v>
      </c>
      <c r="J67" s="19"/>
      <c r="K67" s="19"/>
      <c r="L67" s="19"/>
    </row>
    <row r="68" spans="1:12" ht="21" customHeight="1">
      <c r="A68" s="27"/>
      <c r="B68" s="26" t="s">
        <v>149</v>
      </c>
      <c r="C68" s="93"/>
      <c r="D68" s="12">
        <v>60008073286</v>
      </c>
      <c r="E68" s="30" t="s">
        <v>150</v>
      </c>
      <c r="F68" s="8">
        <f>32.78/2</f>
        <v>16.39</v>
      </c>
      <c r="G68" s="8">
        <f>0.89/2</f>
        <v>0.445</v>
      </c>
      <c r="H68" s="8">
        <f>0.22/2</f>
        <v>0.11</v>
      </c>
      <c r="I68" s="9">
        <f t="shared" si="1"/>
        <v>16.945</v>
      </c>
      <c r="J68" s="19"/>
      <c r="K68" s="19"/>
      <c r="L68" s="19"/>
    </row>
    <row r="69" spans="1:12" ht="21" customHeight="1">
      <c r="A69" s="27"/>
      <c r="B69" s="26" t="s">
        <v>151</v>
      </c>
      <c r="C69" s="26"/>
      <c r="D69" s="12">
        <v>60008101006</v>
      </c>
      <c r="E69" s="30" t="s">
        <v>152</v>
      </c>
      <c r="F69" s="8"/>
      <c r="G69" s="8"/>
      <c r="H69" s="8"/>
      <c r="I69" s="9">
        <f t="shared" si="1"/>
        <v>0</v>
      </c>
      <c r="J69" s="19"/>
      <c r="K69" s="19"/>
      <c r="L69" s="19"/>
    </row>
    <row r="70" spans="1:12" ht="21" customHeight="1">
      <c r="A70" s="27"/>
      <c r="B70" s="26" t="s">
        <v>153</v>
      </c>
      <c r="C70" s="26" t="s">
        <v>359</v>
      </c>
      <c r="D70" s="12">
        <v>60008115357</v>
      </c>
      <c r="E70" s="30" t="s">
        <v>154</v>
      </c>
      <c r="F70" s="8"/>
      <c r="G70" s="8"/>
      <c r="H70" s="8"/>
      <c r="I70" s="9">
        <f t="shared" si="1"/>
        <v>0</v>
      </c>
      <c r="J70" s="19"/>
      <c r="K70" s="19"/>
      <c r="L70" s="19"/>
    </row>
    <row r="71" spans="1:12" ht="21" customHeight="1">
      <c r="A71" s="27"/>
      <c r="B71" s="26" t="s">
        <v>155</v>
      </c>
      <c r="C71" s="26" t="s">
        <v>312</v>
      </c>
      <c r="D71" s="12">
        <v>60008450632</v>
      </c>
      <c r="E71" s="30" t="s">
        <v>156</v>
      </c>
      <c r="F71" s="8"/>
      <c r="G71" s="8"/>
      <c r="H71" s="8"/>
      <c r="I71" s="9">
        <f t="shared" si="1"/>
        <v>0</v>
      </c>
      <c r="J71" s="19"/>
      <c r="K71" s="19"/>
      <c r="L71" s="19"/>
    </row>
    <row r="72" spans="1:12" ht="21" customHeight="1">
      <c r="A72" s="27"/>
      <c r="B72" s="26" t="s">
        <v>157</v>
      </c>
      <c r="C72" s="26" t="s">
        <v>360</v>
      </c>
      <c r="D72" s="12">
        <v>60008427213</v>
      </c>
      <c r="E72" s="30" t="s">
        <v>158</v>
      </c>
      <c r="F72" s="8">
        <f>57.27/2</f>
        <v>28.635</v>
      </c>
      <c r="G72" s="8">
        <f>1.69/2</f>
        <v>0.845</v>
      </c>
      <c r="H72" s="8">
        <f>0.08/2</f>
        <v>0.04</v>
      </c>
      <c r="I72" s="9">
        <f t="shared" si="1"/>
        <v>29.52</v>
      </c>
      <c r="J72" s="19"/>
      <c r="K72" s="19"/>
      <c r="L72" s="19"/>
    </row>
    <row r="73" spans="1:12" ht="21" customHeight="1">
      <c r="A73" s="27"/>
      <c r="B73" s="26" t="s">
        <v>159</v>
      </c>
      <c r="C73" s="26" t="s">
        <v>361</v>
      </c>
      <c r="D73" s="12">
        <v>60008475541</v>
      </c>
      <c r="E73" s="30" t="s">
        <v>160</v>
      </c>
      <c r="F73" s="8">
        <f>85.8/2</f>
        <v>42.9</v>
      </c>
      <c r="G73" s="8">
        <f>2.54/2</f>
        <v>1.27</v>
      </c>
      <c r="H73" s="8">
        <f>0.08/2</f>
        <v>0.04</v>
      </c>
      <c r="I73" s="9">
        <f t="shared" si="1"/>
        <v>44.21</v>
      </c>
      <c r="J73" s="19"/>
      <c r="K73" s="19"/>
      <c r="L73" s="19"/>
    </row>
    <row r="74" spans="1:12" ht="21" customHeight="1">
      <c r="A74" s="27"/>
      <c r="B74" s="26" t="s">
        <v>161</v>
      </c>
      <c r="C74" s="93"/>
      <c r="D74" s="12">
        <v>60008368817</v>
      </c>
      <c r="E74" s="30" t="s">
        <v>162</v>
      </c>
      <c r="F74" s="8"/>
      <c r="G74" s="8"/>
      <c r="H74" s="8"/>
      <c r="I74" s="9">
        <f t="shared" si="1"/>
        <v>0</v>
      </c>
      <c r="J74" s="19"/>
      <c r="K74" s="19"/>
      <c r="L74" s="19"/>
    </row>
    <row r="75" spans="1:12" ht="21" customHeight="1">
      <c r="A75" s="27"/>
      <c r="B75" s="26" t="s">
        <v>163</v>
      </c>
      <c r="C75" s="26" t="s">
        <v>372</v>
      </c>
      <c r="D75" s="12">
        <v>60091069643</v>
      </c>
      <c r="E75" s="30" t="s">
        <v>164</v>
      </c>
      <c r="F75" s="8"/>
      <c r="G75" s="8"/>
      <c r="H75" s="8"/>
      <c r="I75" s="9">
        <f t="shared" si="1"/>
        <v>0</v>
      </c>
      <c r="J75" s="19"/>
      <c r="K75" s="19"/>
      <c r="L75" s="19"/>
    </row>
    <row r="76" spans="1:12" ht="21" customHeight="1">
      <c r="A76" s="27"/>
      <c r="B76" s="26" t="s">
        <v>165</v>
      </c>
      <c r="C76" s="26" t="s">
        <v>363</v>
      </c>
      <c r="D76" s="12">
        <v>60089709450</v>
      </c>
      <c r="E76" s="30" t="s">
        <v>166</v>
      </c>
      <c r="F76" s="8">
        <f>60.3/2</f>
        <v>30.15</v>
      </c>
      <c r="G76" s="8">
        <f>1.78/2</f>
        <v>0.89</v>
      </c>
      <c r="H76" s="8">
        <f>0.07/2</f>
        <v>0.035</v>
      </c>
      <c r="I76" s="9">
        <f t="shared" si="1"/>
        <v>31.075</v>
      </c>
      <c r="J76" s="19"/>
      <c r="K76" s="19"/>
      <c r="L76" s="19"/>
    </row>
    <row r="77" spans="1:12" ht="21" customHeight="1">
      <c r="A77" s="27"/>
      <c r="B77" s="26" t="s">
        <v>167</v>
      </c>
      <c r="C77" s="26" t="s">
        <v>362</v>
      </c>
      <c r="D77" s="12">
        <v>60089553056</v>
      </c>
      <c r="E77" s="30" t="s">
        <v>168</v>
      </c>
      <c r="F77" s="8">
        <f>594.16/2</f>
        <v>297.08</v>
      </c>
      <c r="G77" s="8">
        <f>17.73/2</f>
        <v>8.865</v>
      </c>
      <c r="H77" s="8">
        <f>0.22/2</f>
        <v>0.11</v>
      </c>
      <c r="I77" s="9">
        <f t="shared" si="1"/>
        <v>306.055</v>
      </c>
      <c r="J77" s="19"/>
      <c r="K77" s="19"/>
      <c r="L77" s="19"/>
    </row>
    <row r="78" spans="1:12" s="20" customFormat="1" ht="21" customHeight="1">
      <c r="A78" s="27"/>
      <c r="B78" s="26" t="s">
        <v>169</v>
      </c>
      <c r="C78" s="26" t="s">
        <v>364</v>
      </c>
      <c r="D78" s="17">
        <v>60090692774</v>
      </c>
      <c r="E78" s="31" t="s">
        <v>170</v>
      </c>
      <c r="F78" s="18"/>
      <c r="G78" s="18"/>
      <c r="H78" s="18"/>
      <c r="I78" s="9">
        <f t="shared" si="1"/>
        <v>0</v>
      </c>
      <c r="J78" s="19"/>
      <c r="K78" s="19"/>
      <c r="L78" s="19"/>
    </row>
    <row r="79" spans="1:12" ht="21" customHeight="1">
      <c r="A79" s="27"/>
      <c r="B79" s="26" t="s">
        <v>171</v>
      </c>
      <c r="C79" s="93"/>
      <c r="D79" s="12">
        <v>60006579681</v>
      </c>
      <c r="E79" s="30" t="s">
        <v>172</v>
      </c>
      <c r="F79" s="8"/>
      <c r="G79" s="8"/>
      <c r="H79" s="8"/>
      <c r="I79" s="9">
        <f t="shared" si="1"/>
        <v>0</v>
      </c>
      <c r="J79" s="19"/>
      <c r="K79" s="19"/>
      <c r="L79" s="19"/>
    </row>
    <row r="80" spans="1:12" ht="21" customHeight="1">
      <c r="A80" s="27"/>
      <c r="B80" s="26" t="s">
        <v>173</v>
      </c>
      <c r="C80" s="26" t="s">
        <v>333</v>
      </c>
      <c r="D80" s="12">
        <v>60006586696</v>
      </c>
      <c r="E80" s="30" t="s">
        <v>174</v>
      </c>
      <c r="F80" s="8">
        <f>224.19/2</f>
        <v>112.095</v>
      </c>
      <c r="G80" s="8">
        <f>6.63/2</f>
        <v>3.315</v>
      </c>
      <c r="H80" s="8">
        <f>0.21/2</f>
        <v>0.105</v>
      </c>
      <c r="I80" s="9">
        <f t="shared" si="1"/>
        <v>115.515</v>
      </c>
      <c r="J80" s="19"/>
      <c r="K80" s="19"/>
      <c r="L80" s="19"/>
    </row>
    <row r="81" spans="1:12" ht="21" customHeight="1">
      <c r="A81" s="27"/>
      <c r="B81" s="26" t="s">
        <v>175</v>
      </c>
      <c r="C81" s="93"/>
      <c r="D81" s="17">
        <v>60006586704</v>
      </c>
      <c r="E81" s="31" t="s">
        <v>176</v>
      </c>
      <c r="F81" s="18">
        <f>28.34/2</f>
        <v>14.17</v>
      </c>
      <c r="G81" s="18">
        <f>0.82/2</f>
        <v>0.41</v>
      </c>
      <c r="H81" s="18">
        <f>0.07/2</f>
        <v>0.035</v>
      </c>
      <c r="I81" s="9">
        <f t="shared" si="1"/>
        <v>14.615</v>
      </c>
      <c r="J81" s="19"/>
      <c r="K81" s="19"/>
      <c r="L81" s="19"/>
    </row>
    <row r="82" spans="1:12" s="29" customFormat="1" ht="21" customHeight="1">
      <c r="A82" s="27"/>
      <c r="B82" s="26" t="s">
        <v>177</v>
      </c>
      <c r="C82" s="26" t="s">
        <v>370</v>
      </c>
      <c r="D82" s="12">
        <v>60006587652</v>
      </c>
      <c r="E82" s="33" t="s">
        <v>178</v>
      </c>
      <c r="F82" s="15">
        <f>181.93/2</f>
        <v>90.965</v>
      </c>
      <c r="G82" s="15">
        <f>5.37/2</f>
        <v>2.685</v>
      </c>
      <c r="H82" s="15">
        <f>0.2/2</f>
        <v>0.1</v>
      </c>
      <c r="I82" s="9">
        <f t="shared" si="1"/>
        <v>93.75</v>
      </c>
      <c r="J82" s="19"/>
      <c r="K82" s="19"/>
      <c r="L82" s="19"/>
    </row>
    <row r="83" spans="1:9" ht="21" customHeight="1">
      <c r="A83" s="27"/>
      <c r="B83" s="26" t="s">
        <v>179</v>
      </c>
      <c r="C83" s="26" t="s">
        <v>334</v>
      </c>
      <c r="D83" s="12">
        <v>60006587671</v>
      </c>
      <c r="E83" s="30" t="s">
        <v>180</v>
      </c>
      <c r="F83" s="8">
        <f>152.57/2</f>
        <v>76.285</v>
      </c>
      <c r="G83" s="8">
        <f>4.49/2</f>
        <v>2.245</v>
      </c>
      <c r="H83" s="8">
        <f>0.2/2</f>
        <v>0.1</v>
      </c>
      <c r="I83" s="9">
        <f t="shared" si="1"/>
        <v>78.63</v>
      </c>
    </row>
    <row r="84" spans="1:9" ht="21" customHeight="1">
      <c r="A84" s="27"/>
      <c r="B84" s="26" t="s">
        <v>181</v>
      </c>
      <c r="C84" s="26" t="s">
        <v>335</v>
      </c>
      <c r="D84" s="12">
        <v>60006593566</v>
      </c>
      <c r="E84" s="30" t="s">
        <v>182</v>
      </c>
      <c r="F84" s="8">
        <f>125.71/2</f>
        <v>62.855</v>
      </c>
      <c r="G84" s="8">
        <f>3.74/2</f>
        <v>1.87</v>
      </c>
      <c r="H84" s="8">
        <f>0.08/2</f>
        <v>0.04</v>
      </c>
      <c r="I84" s="9">
        <f t="shared" si="1"/>
        <v>64.765</v>
      </c>
    </row>
    <row r="85" spans="1:9" ht="21" customHeight="1">
      <c r="A85" s="27"/>
      <c r="B85" s="26" t="s">
        <v>183</v>
      </c>
      <c r="C85" s="26" t="s">
        <v>336</v>
      </c>
      <c r="D85" s="12">
        <v>60006601563</v>
      </c>
      <c r="E85" s="30" t="s">
        <v>184</v>
      </c>
      <c r="F85" s="8">
        <f>135.47/2</f>
        <v>67.735</v>
      </c>
      <c r="G85" s="8">
        <f>4.06/2</f>
        <v>2.03</v>
      </c>
      <c r="H85" s="8">
        <v>0</v>
      </c>
      <c r="I85" s="9">
        <f t="shared" si="1"/>
        <v>69.765</v>
      </c>
    </row>
    <row r="86" spans="1:9" ht="21" customHeight="1">
      <c r="A86" s="27"/>
      <c r="B86" s="26" t="s">
        <v>185</v>
      </c>
      <c r="C86" s="26" t="s">
        <v>310</v>
      </c>
      <c r="D86" s="12">
        <v>60006630551</v>
      </c>
      <c r="E86" s="30" t="s">
        <v>186</v>
      </c>
      <c r="F86" s="8">
        <f>224.61/2</f>
        <v>112.305</v>
      </c>
      <c r="G86" s="8">
        <f>6.65/2</f>
        <v>3.325</v>
      </c>
      <c r="H86" s="8">
        <f>0.21/2</f>
        <v>0.105</v>
      </c>
      <c r="I86" s="9">
        <f t="shared" si="1"/>
        <v>115.73500000000001</v>
      </c>
    </row>
    <row r="87" spans="1:9" ht="21" customHeight="1">
      <c r="A87" s="27"/>
      <c r="B87" s="26" t="s">
        <v>187</v>
      </c>
      <c r="C87" s="26" t="s">
        <v>287</v>
      </c>
      <c r="D87" s="12">
        <v>60006631759</v>
      </c>
      <c r="E87" s="30" t="s">
        <v>188</v>
      </c>
      <c r="F87" s="8">
        <f>93.65/2</f>
        <v>46.825</v>
      </c>
      <c r="G87" s="8">
        <f>2.78/2</f>
        <v>1.39</v>
      </c>
      <c r="H87" s="8">
        <f>0.08/2</f>
        <v>0.04</v>
      </c>
      <c r="I87" s="9">
        <f t="shared" si="1"/>
        <v>48.255</v>
      </c>
    </row>
    <row r="88" spans="1:9" ht="21" customHeight="1">
      <c r="A88" s="27"/>
      <c r="B88" s="26" t="s">
        <v>189</v>
      </c>
      <c r="C88" s="26" t="s">
        <v>339</v>
      </c>
      <c r="D88" s="12">
        <v>60006631974</v>
      </c>
      <c r="E88" s="30" t="s">
        <v>190</v>
      </c>
      <c r="F88" s="8">
        <f>980.3/3</f>
        <v>326.76666666666665</v>
      </c>
      <c r="G88" s="8">
        <f>29.36/3</f>
        <v>9.786666666666667</v>
      </c>
      <c r="H88" s="8">
        <f>0.12/3</f>
        <v>0.04</v>
      </c>
      <c r="I88" s="9">
        <f t="shared" si="1"/>
        <v>336.59333333333336</v>
      </c>
    </row>
    <row r="89" spans="1:9" ht="21" customHeight="1">
      <c r="A89" s="27"/>
      <c r="B89" s="26" t="s">
        <v>191</v>
      </c>
      <c r="C89" s="26" t="s">
        <v>356</v>
      </c>
      <c r="D89" s="12">
        <v>60007843337</v>
      </c>
      <c r="E89" s="30" t="s">
        <v>192</v>
      </c>
      <c r="F89" s="8">
        <f>157.62/2</f>
        <v>78.81</v>
      </c>
      <c r="G89" s="8">
        <f>4.7/2</f>
        <v>2.35</v>
      </c>
      <c r="H89" s="8">
        <f>0.08/2</f>
        <v>0.04</v>
      </c>
      <c r="I89" s="9">
        <f t="shared" si="1"/>
        <v>81.2</v>
      </c>
    </row>
    <row r="90" spans="1:9" ht="21" customHeight="1">
      <c r="A90" s="27"/>
      <c r="B90" s="26" t="s">
        <v>193</v>
      </c>
      <c r="C90" s="26" t="s">
        <v>305</v>
      </c>
      <c r="D90" s="12">
        <v>60006631992</v>
      </c>
      <c r="E90" s="30" t="s">
        <v>194</v>
      </c>
      <c r="F90" s="8"/>
      <c r="G90" s="8"/>
      <c r="H90" s="8"/>
      <c r="I90" s="9">
        <f t="shared" si="1"/>
        <v>0</v>
      </c>
    </row>
    <row r="91" spans="1:9" ht="21" customHeight="1">
      <c r="A91" s="27"/>
      <c r="B91" s="26" t="s">
        <v>195</v>
      </c>
      <c r="C91" s="26" t="s">
        <v>341</v>
      </c>
      <c r="D91" s="12">
        <v>60006632013</v>
      </c>
      <c r="E91" s="30" t="s">
        <v>196</v>
      </c>
      <c r="F91" s="8">
        <f>40.14/2</f>
        <v>20.07</v>
      </c>
      <c r="G91" s="8">
        <f>1.17/2</f>
        <v>0.585</v>
      </c>
      <c r="H91" s="8">
        <f>0.08/2</f>
        <v>0.04</v>
      </c>
      <c r="I91" s="9">
        <f t="shared" si="1"/>
        <v>20.695</v>
      </c>
    </row>
    <row r="92" spans="1:9" ht="21" customHeight="1">
      <c r="A92" s="27"/>
      <c r="B92" s="26" t="s">
        <v>197</v>
      </c>
      <c r="C92" s="26" t="s">
        <v>288</v>
      </c>
      <c r="D92" s="12">
        <v>60006632028</v>
      </c>
      <c r="E92" s="30" t="s">
        <v>198</v>
      </c>
      <c r="F92" s="8">
        <f>347.95/2</f>
        <v>173.975</v>
      </c>
      <c r="G92" s="8">
        <f>10.34/2</f>
        <v>5.17</v>
      </c>
      <c r="H92" s="8">
        <f>0.22/2</f>
        <v>0.11</v>
      </c>
      <c r="I92" s="9">
        <f t="shared" si="1"/>
        <v>179.255</v>
      </c>
    </row>
    <row r="93" spans="1:9" ht="21" customHeight="1">
      <c r="A93" s="27"/>
      <c r="B93" s="26" t="s">
        <v>199</v>
      </c>
      <c r="C93" s="26" t="s">
        <v>342</v>
      </c>
      <c r="D93" s="12">
        <v>60006632034</v>
      </c>
      <c r="E93" s="30" t="s">
        <v>200</v>
      </c>
      <c r="F93" s="8"/>
      <c r="G93" s="8"/>
      <c r="H93" s="8"/>
      <c r="I93" s="9">
        <f t="shared" si="1"/>
        <v>0</v>
      </c>
    </row>
    <row r="94" spans="1:9" ht="21" customHeight="1">
      <c r="A94" s="27"/>
      <c r="B94" s="26" t="s">
        <v>201</v>
      </c>
      <c r="C94" s="26" t="s">
        <v>343</v>
      </c>
      <c r="D94" s="12">
        <v>60006637176</v>
      </c>
      <c r="E94" s="30" t="s">
        <v>202</v>
      </c>
      <c r="F94" s="8">
        <f>79.06/2</f>
        <v>39.53</v>
      </c>
      <c r="G94" s="8">
        <f>2.37/2</f>
        <v>1.185</v>
      </c>
      <c r="H94" s="8">
        <v>0</v>
      </c>
      <c r="I94" s="9">
        <f t="shared" si="1"/>
        <v>40.715</v>
      </c>
    </row>
    <row r="95" spans="1:9" ht="21" customHeight="1">
      <c r="A95" s="27"/>
      <c r="B95" s="26" t="s">
        <v>203</v>
      </c>
      <c r="C95" s="93"/>
      <c r="D95" s="12">
        <v>60006637235</v>
      </c>
      <c r="E95" s="30" t="s">
        <v>204</v>
      </c>
      <c r="F95" s="8">
        <f>28.99/2</f>
        <v>14.495</v>
      </c>
      <c r="G95" s="8">
        <f>0.84/2</f>
        <v>0.42</v>
      </c>
      <c r="H95" s="8">
        <f>0.07/2</f>
        <v>0.035</v>
      </c>
      <c r="I95" s="9">
        <f t="shared" si="1"/>
        <v>14.95</v>
      </c>
    </row>
    <row r="96" spans="1:9" ht="21" customHeight="1">
      <c r="A96" s="27"/>
      <c r="B96" s="26" t="s">
        <v>205</v>
      </c>
      <c r="C96" s="26" t="s">
        <v>306</v>
      </c>
      <c r="D96" s="12">
        <v>60006637714</v>
      </c>
      <c r="E96" s="30" t="s">
        <v>206</v>
      </c>
      <c r="F96" s="8">
        <f>88.22/2</f>
        <v>44.11</v>
      </c>
      <c r="G96" s="8">
        <f>2.56/2</f>
        <v>1.28</v>
      </c>
      <c r="H96" s="8">
        <f>0.21/2</f>
        <v>0.105</v>
      </c>
      <c r="I96" s="9">
        <f t="shared" si="1"/>
        <v>45.495</v>
      </c>
    </row>
    <row r="97" spans="1:9" ht="21" customHeight="1">
      <c r="A97" s="27"/>
      <c r="B97" s="26" t="s">
        <v>207</v>
      </c>
      <c r="C97" s="93"/>
      <c r="D97" s="12">
        <v>60006642108</v>
      </c>
      <c r="E97" s="30" t="s">
        <v>208</v>
      </c>
      <c r="F97" s="8">
        <f>28.99/2</f>
        <v>14.495</v>
      </c>
      <c r="G97" s="8">
        <f>0.84/2</f>
        <v>0.42</v>
      </c>
      <c r="H97" s="8">
        <f>0.07/2</f>
        <v>0.035</v>
      </c>
      <c r="I97" s="9">
        <f t="shared" si="1"/>
        <v>14.95</v>
      </c>
    </row>
    <row r="98" spans="1:9" ht="21" customHeight="1">
      <c r="A98" s="27"/>
      <c r="B98" s="26" t="s">
        <v>209</v>
      </c>
      <c r="C98" s="93"/>
      <c r="D98" s="12">
        <v>60006642114</v>
      </c>
      <c r="E98" s="30" t="s">
        <v>210</v>
      </c>
      <c r="F98" s="8">
        <f>28.99/2</f>
        <v>14.495</v>
      </c>
      <c r="G98" s="8">
        <f>0.84/2</f>
        <v>0.42</v>
      </c>
      <c r="H98" s="8">
        <f>0.07/2</f>
        <v>0.035</v>
      </c>
      <c r="I98" s="9">
        <f t="shared" si="1"/>
        <v>14.95</v>
      </c>
    </row>
    <row r="99" spans="1:9" ht="21" customHeight="1">
      <c r="A99" s="27"/>
      <c r="B99" s="26" t="s">
        <v>211</v>
      </c>
      <c r="C99" s="26" t="s">
        <v>290</v>
      </c>
      <c r="D99" s="12">
        <v>60006644426</v>
      </c>
      <c r="E99" s="30" t="s">
        <v>212</v>
      </c>
      <c r="F99" s="8"/>
      <c r="G99" s="8"/>
      <c r="H99" s="8"/>
      <c r="I99" s="9">
        <f t="shared" si="1"/>
        <v>0</v>
      </c>
    </row>
    <row r="100" spans="1:9" ht="21" customHeight="1">
      <c r="A100" s="27"/>
      <c r="B100" s="26" t="s">
        <v>213</v>
      </c>
      <c r="C100" s="93"/>
      <c r="D100" s="12">
        <v>60006644431</v>
      </c>
      <c r="E100" s="30" t="s">
        <v>214</v>
      </c>
      <c r="F100" s="8"/>
      <c r="G100" s="8"/>
      <c r="H100" s="8"/>
      <c r="I100" s="9">
        <f t="shared" si="1"/>
        <v>0</v>
      </c>
    </row>
    <row r="101" spans="1:9" ht="21" customHeight="1">
      <c r="A101" s="27"/>
      <c r="B101" s="26" t="s">
        <v>215</v>
      </c>
      <c r="C101" s="26" t="s">
        <v>344</v>
      </c>
      <c r="D101" s="12">
        <v>60006644654</v>
      </c>
      <c r="E101" s="30" t="s">
        <v>216</v>
      </c>
      <c r="F101" s="18">
        <f>49.88/2</f>
        <v>24.94</v>
      </c>
      <c r="G101" s="18">
        <f>1.46/2</f>
        <v>0.73</v>
      </c>
      <c r="H101" s="18">
        <f>0.07/2</f>
        <v>0.035</v>
      </c>
      <c r="I101" s="87">
        <f t="shared" si="1"/>
        <v>25.705000000000002</v>
      </c>
    </row>
    <row r="102" spans="1:9" ht="21" customHeight="1">
      <c r="A102" s="27"/>
      <c r="B102" s="26" t="s">
        <v>217</v>
      </c>
      <c r="C102" s="93"/>
      <c r="D102" s="12">
        <v>60007182237</v>
      </c>
      <c r="E102" s="30" t="s">
        <v>218</v>
      </c>
      <c r="F102" s="8"/>
      <c r="G102" s="8"/>
      <c r="H102" s="8"/>
      <c r="I102" s="9">
        <f t="shared" si="1"/>
        <v>0</v>
      </c>
    </row>
    <row r="103" spans="1:9" ht="21" customHeight="1">
      <c r="A103" s="27"/>
      <c r="B103" s="26" t="s">
        <v>219</v>
      </c>
      <c r="C103" s="26" t="s">
        <v>354</v>
      </c>
      <c r="D103" s="12">
        <v>60007843211</v>
      </c>
      <c r="E103" s="30" t="s">
        <v>220</v>
      </c>
      <c r="F103" s="8"/>
      <c r="G103" s="8"/>
      <c r="H103" s="8"/>
      <c r="I103" s="9">
        <f t="shared" si="1"/>
        <v>0</v>
      </c>
    </row>
    <row r="104" spans="1:9" ht="21" customHeight="1">
      <c r="A104" s="27"/>
      <c r="B104" s="26" t="s">
        <v>221</v>
      </c>
      <c r="C104" s="26" t="s">
        <v>355</v>
      </c>
      <c r="D104" s="12">
        <v>60007843225</v>
      </c>
      <c r="E104" s="30" t="s">
        <v>222</v>
      </c>
      <c r="F104" s="8"/>
      <c r="G104" s="8"/>
      <c r="H104" s="8"/>
      <c r="I104" s="9">
        <f t="shared" si="1"/>
        <v>0</v>
      </c>
    </row>
    <row r="105" spans="1:9" ht="21" customHeight="1">
      <c r="A105" s="27"/>
      <c r="B105" s="26" t="s">
        <v>223</v>
      </c>
      <c r="C105" s="26" t="s">
        <v>347</v>
      </c>
      <c r="D105" s="12">
        <v>60007211343</v>
      </c>
      <c r="E105" s="30" t="s">
        <v>224</v>
      </c>
      <c r="F105" s="8">
        <f>10.19/2</f>
        <v>5.095</v>
      </c>
      <c r="G105" s="8">
        <f>0.31/2</f>
        <v>0.155</v>
      </c>
      <c r="H105" s="8">
        <v>0</v>
      </c>
      <c r="I105" s="9">
        <f t="shared" si="1"/>
        <v>5.25</v>
      </c>
    </row>
    <row r="106" spans="1:9" ht="21" customHeight="1">
      <c r="A106" s="27"/>
      <c r="B106" s="26" t="s">
        <v>225</v>
      </c>
      <c r="C106" s="26" t="s">
        <v>346</v>
      </c>
      <c r="D106" s="12">
        <v>60007211339</v>
      </c>
      <c r="E106" s="30" t="s">
        <v>226</v>
      </c>
      <c r="F106" s="8">
        <f>100.79/2</f>
        <v>50.395</v>
      </c>
      <c r="G106" s="8">
        <f>2.93/2</f>
        <v>1.465</v>
      </c>
      <c r="H106" s="8">
        <f>0.21/2</f>
        <v>0.105</v>
      </c>
      <c r="I106" s="9">
        <f t="shared" si="1"/>
        <v>51.965</v>
      </c>
    </row>
    <row r="107" spans="1:9" ht="21" customHeight="1">
      <c r="A107" s="27"/>
      <c r="B107" s="26" t="s">
        <v>227</v>
      </c>
      <c r="C107" s="26" t="s">
        <v>291</v>
      </c>
      <c r="D107" s="12">
        <v>60007239731</v>
      </c>
      <c r="E107" s="30" t="s">
        <v>228</v>
      </c>
      <c r="F107" s="8">
        <f>215.79/2</f>
        <v>107.895</v>
      </c>
      <c r="G107" s="8">
        <f>6.44/2</f>
        <v>3.22</v>
      </c>
      <c r="H107" s="8">
        <f>0.07/2</f>
        <v>0.035</v>
      </c>
      <c r="I107" s="9">
        <f t="shared" si="1"/>
        <v>111.14999999999999</v>
      </c>
    </row>
    <row r="108" spans="1:9" ht="21" customHeight="1">
      <c r="A108" s="27"/>
      <c r="B108" s="26" t="s">
        <v>229</v>
      </c>
      <c r="C108" s="26" t="s">
        <v>348</v>
      </c>
      <c r="D108" s="12">
        <v>60007483419</v>
      </c>
      <c r="E108" s="30" t="s">
        <v>230</v>
      </c>
      <c r="F108" s="8">
        <f>85.73/2</f>
        <v>42.865</v>
      </c>
      <c r="G108" s="8">
        <f>2.54/2</f>
        <v>1.27</v>
      </c>
      <c r="H108" s="8">
        <f>0.07/2</f>
        <v>0.035</v>
      </c>
      <c r="I108" s="9">
        <f t="shared" si="1"/>
        <v>44.17</v>
      </c>
    </row>
    <row r="109" spans="1:9" ht="21" customHeight="1">
      <c r="A109" s="27"/>
      <c r="B109" s="26" t="s">
        <v>231</v>
      </c>
      <c r="C109" s="26" t="s">
        <v>301</v>
      </c>
      <c r="D109" s="12">
        <v>60006579638</v>
      </c>
      <c r="E109" s="30" t="s">
        <v>232</v>
      </c>
      <c r="F109" s="8"/>
      <c r="G109" s="8"/>
      <c r="H109" s="8"/>
      <c r="I109" s="9">
        <f t="shared" si="1"/>
        <v>0</v>
      </c>
    </row>
    <row r="110" spans="1:9" ht="21" customHeight="1">
      <c r="A110" s="27"/>
      <c r="B110" s="26" t="s">
        <v>233</v>
      </c>
      <c r="C110" s="26" t="s">
        <v>349</v>
      </c>
      <c r="D110" s="12">
        <v>60006579657</v>
      </c>
      <c r="E110" s="30" t="s">
        <v>234</v>
      </c>
      <c r="F110" s="8"/>
      <c r="G110" s="8"/>
      <c r="H110" s="8"/>
      <c r="I110" s="9">
        <f t="shared" si="1"/>
        <v>0</v>
      </c>
    </row>
    <row r="111" spans="1:9" ht="21" customHeight="1">
      <c r="A111" s="27"/>
      <c r="B111" s="26" t="s">
        <v>235</v>
      </c>
      <c r="C111" s="93"/>
      <c r="D111" s="12">
        <v>60006579676</v>
      </c>
      <c r="E111" s="30" t="s">
        <v>236</v>
      </c>
      <c r="F111" s="8"/>
      <c r="G111" s="8"/>
      <c r="H111" s="8"/>
      <c r="I111" s="9">
        <f t="shared" si="1"/>
        <v>0</v>
      </c>
    </row>
    <row r="112" spans="1:9" ht="21" customHeight="1">
      <c r="A112" s="27"/>
      <c r="B112" s="26" t="s">
        <v>237</v>
      </c>
      <c r="C112" s="26" t="s">
        <v>351</v>
      </c>
      <c r="D112" s="12">
        <v>60007631681</v>
      </c>
      <c r="E112" s="30" t="s">
        <v>238</v>
      </c>
      <c r="F112" s="8"/>
      <c r="G112" s="8"/>
      <c r="H112" s="8"/>
      <c r="I112" s="9">
        <f t="shared" si="1"/>
        <v>0</v>
      </c>
    </row>
    <row r="113" spans="1:9" ht="21" customHeight="1">
      <c r="A113" s="27"/>
      <c r="B113" s="26" t="s">
        <v>239</v>
      </c>
      <c r="C113" s="26" t="s">
        <v>357</v>
      </c>
      <c r="D113" s="12">
        <v>60007848373</v>
      </c>
      <c r="E113" s="30" t="s">
        <v>240</v>
      </c>
      <c r="F113" s="8">
        <f>311.33/2</f>
        <v>155.665</v>
      </c>
      <c r="G113" s="8">
        <f>9.25/2</f>
        <v>4.625</v>
      </c>
      <c r="H113" s="8">
        <f>0.22/2</f>
        <v>0.11</v>
      </c>
      <c r="I113" s="9">
        <f t="shared" si="1"/>
        <v>160.4</v>
      </c>
    </row>
    <row r="114" spans="1:9" ht="21" customHeight="1">
      <c r="A114" s="27"/>
      <c r="B114" s="26" t="s">
        <v>241</v>
      </c>
      <c r="C114" s="26" t="s">
        <v>338</v>
      </c>
      <c r="D114" s="12">
        <v>60006631880</v>
      </c>
      <c r="E114" s="30" t="s">
        <v>242</v>
      </c>
      <c r="F114" s="8">
        <f>39.59/2</f>
        <v>19.795</v>
      </c>
      <c r="G114" s="8">
        <f>1.16/2</f>
        <v>0.58</v>
      </c>
      <c r="H114" s="8">
        <f>0.08/2</f>
        <v>0.04</v>
      </c>
      <c r="I114" s="9">
        <f t="shared" si="1"/>
        <v>20.415</v>
      </c>
    </row>
    <row r="115" spans="1:9" ht="21" customHeight="1">
      <c r="A115" s="27"/>
      <c r="B115" s="26" t="s">
        <v>243</v>
      </c>
      <c r="C115" s="26" t="s">
        <v>320</v>
      </c>
      <c r="D115" s="12">
        <v>60006631920</v>
      </c>
      <c r="E115" s="30" t="s">
        <v>244</v>
      </c>
      <c r="F115" s="8">
        <f>79.7/2</f>
        <v>39.85</v>
      </c>
      <c r="G115" s="8">
        <f>2.3/2</f>
        <v>1.15</v>
      </c>
      <c r="H115" s="8">
        <f>0.21/2</f>
        <v>0.105</v>
      </c>
      <c r="I115" s="9">
        <f t="shared" si="1"/>
        <v>41.105</v>
      </c>
    </row>
    <row r="116" spans="1:9" ht="21" customHeight="1">
      <c r="A116" s="27"/>
      <c r="B116" s="26" t="s">
        <v>245</v>
      </c>
      <c r="C116" s="26" t="s">
        <v>340</v>
      </c>
      <c r="D116" s="12">
        <v>60006631987</v>
      </c>
      <c r="E116" s="30" t="s">
        <v>246</v>
      </c>
      <c r="F116" s="8">
        <f>519.25/2</f>
        <v>259.625</v>
      </c>
      <c r="G116" s="8">
        <f>15.49/2</f>
        <v>7.745</v>
      </c>
      <c r="H116" s="8">
        <f>0.21/2</f>
        <v>0.105</v>
      </c>
      <c r="I116" s="9">
        <f t="shared" si="1"/>
        <v>267.475</v>
      </c>
    </row>
    <row r="117" spans="1:9" ht="21" customHeight="1">
      <c r="A117" s="27"/>
      <c r="B117" s="26" t="s">
        <v>247</v>
      </c>
      <c r="C117" s="26" t="s">
        <v>373</v>
      </c>
      <c r="D117" s="12">
        <v>60006632009</v>
      </c>
      <c r="E117" s="30" t="s">
        <v>248</v>
      </c>
      <c r="F117" s="8">
        <f>508.35/2</f>
        <v>254.175</v>
      </c>
      <c r="G117" s="8">
        <f>15.16/2</f>
        <v>7.58</v>
      </c>
      <c r="H117" s="8">
        <f>0.21/2</f>
        <v>0.105</v>
      </c>
      <c r="I117" s="9">
        <f t="shared" si="1"/>
        <v>261.86</v>
      </c>
    </row>
    <row r="118" spans="1:9" ht="21" customHeight="1">
      <c r="A118" s="27"/>
      <c r="B118" s="26" t="s">
        <v>249</v>
      </c>
      <c r="C118" s="26" t="s">
        <v>350</v>
      </c>
      <c r="D118" s="12">
        <v>60007611240</v>
      </c>
      <c r="E118" s="30" t="s">
        <v>250</v>
      </c>
      <c r="F118" s="8">
        <f>501.77/2</f>
        <v>250.885</v>
      </c>
      <c r="G118" s="8">
        <f>15.02/2</f>
        <v>7.51</v>
      </c>
      <c r="H118" s="8">
        <f>0.08/2</f>
        <v>0.04</v>
      </c>
      <c r="I118" s="9">
        <f t="shared" si="1"/>
        <v>258.435</v>
      </c>
    </row>
    <row r="119" spans="1:9" ht="21" customHeight="1">
      <c r="A119" s="27"/>
      <c r="B119" s="26" t="s">
        <v>251</v>
      </c>
      <c r="C119" s="26" t="s">
        <v>337</v>
      </c>
      <c r="D119" s="12">
        <v>60006613294</v>
      </c>
      <c r="E119" s="30" t="s">
        <v>252</v>
      </c>
      <c r="F119" s="8">
        <f>105.33/2</f>
        <v>52.665</v>
      </c>
      <c r="G119" s="8">
        <f>3.16/2</f>
        <v>1.58</v>
      </c>
      <c r="H119" s="8">
        <v>0</v>
      </c>
      <c r="I119" s="9">
        <f t="shared" si="1"/>
        <v>54.245</v>
      </c>
    </row>
    <row r="120" spans="1:9" ht="21" customHeight="1">
      <c r="A120" s="27"/>
      <c r="B120" s="26" t="s">
        <v>253</v>
      </c>
      <c r="C120" s="26" t="s">
        <v>303</v>
      </c>
      <c r="D120" s="12">
        <v>60006631725</v>
      </c>
      <c r="E120" s="30" t="s">
        <v>254</v>
      </c>
      <c r="F120" s="8">
        <f>194.57/2</f>
        <v>97.285</v>
      </c>
      <c r="G120" s="8">
        <f>5.8/2</f>
        <v>2.9</v>
      </c>
      <c r="H120" s="8">
        <f>0.08/2</f>
        <v>0.04</v>
      </c>
      <c r="I120" s="9">
        <f aca="true" t="shared" si="2" ref="I120:I130">SUM(F120:H120)</f>
        <v>100.22500000000001</v>
      </c>
    </row>
    <row r="121" spans="1:9" ht="21" customHeight="1">
      <c r="A121" s="27"/>
      <c r="B121" s="26" t="s">
        <v>255</v>
      </c>
      <c r="C121" s="26" t="s">
        <v>304</v>
      </c>
      <c r="D121" s="12">
        <v>60006631818</v>
      </c>
      <c r="E121" s="30" t="s">
        <v>256</v>
      </c>
      <c r="F121" s="8"/>
      <c r="G121" s="8"/>
      <c r="H121" s="8"/>
      <c r="I121" s="9">
        <f t="shared" si="2"/>
        <v>0</v>
      </c>
    </row>
    <row r="122" spans="1:9" ht="21" customHeight="1">
      <c r="A122" s="28"/>
      <c r="B122" s="25" t="s">
        <v>257</v>
      </c>
      <c r="C122" s="95"/>
      <c r="D122" s="14">
        <v>60006631824</v>
      </c>
      <c r="E122" s="45" t="s">
        <v>258</v>
      </c>
      <c r="F122" s="15">
        <f>854.11*0.25+1115.99*0.25</f>
        <v>492.525</v>
      </c>
      <c r="G122" s="15">
        <f>25.54*0.25+33.4*0.25</f>
        <v>14.735</v>
      </c>
      <c r="H122" s="15">
        <f>0.19*0.25+0.2*0.25</f>
        <v>0.0975</v>
      </c>
      <c r="I122" s="9">
        <f t="shared" si="2"/>
        <v>507.3575</v>
      </c>
    </row>
    <row r="123" spans="1:9" ht="21" customHeight="1">
      <c r="A123" s="28"/>
      <c r="B123" s="25" t="s">
        <v>259</v>
      </c>
      <c r="C123" s="25" t="s">
        <v>345</v>
      </c>
      <c r="D123" s="14">
        <v>60006872372</v>
      </c>
      <c r="E123" s="45" t="s">
        <v>260</v>
      </c>
      <c r="F123" s="15"/>
      <c r="G123" s="15"/>
      <c r="H123" s="15"/>
      <c r="I123" s="9">
        <f t="shared" si="2"/>
        <v>0</v>
      </c>
    </row>
    <row r="124" spans="1:9" ht="21" customHeight="1">
      <c r="A124" s="28"/>
      <c r="B124" s="25" t="s">
        <v>261</v>
      </c>
      <c r="C124" s="25" t="s">
        <v>321</v>
      </c>
      <c r="D124" s="14">
        <v>60006974384</v>
      </c>
      <c r="E124" s="45" t="s">
        <v>262</v>
      </c>
      <c r="F124" s="15">
        <f>123.48/2</f>
        <v>61.74</v>
      </c>
      <c r="G124" s="15">
        <f>3.67/2</f>
        <v>1.835</v>
      </c>
      <c r="H124" s="15">
        <f>0.07/2</f>
        <v>0.035</v>
      </c>
      <c r="I124" s="9">
        <f t="shared" si="2"/>
        <v>63.61</v>
      </c>
    </row>
    <row r="125" spans="1:9" ht="21" customHeight="1">
      <c r="A125" s="28"/>
      <c r="B125" s="25" t="s">
        <v>263</v>
      </c>
      <c r="C125" s="25" t="s">
        <v>368</v>
      </c>
      <c r="D125" s="14">
        <v>60006581324</v>
      </c>
      <c r="E125" s="45" t="s">
        <v>264</v>
      </c>
      <c r="F125" s="15"/>
      <c r="G125" s="15"/>
      <c r="H125" s="15"/>
      <c r="I125" s="9">
        <f t="shared" si="2"/>
        <v>0</v>
      </c>
    </row>
    <row r="126" spans="1:9" ht="21" customHeight="1">
      <c r="A126" s="28"/>
      <c r="B126" s="25" t="s">
        <v>265</v>
      </c>
      <c r="C126" s="25" t="s">
        <v>352</v>
      </c>
      <c r="D126" s="14">
        <v>60007651627</v>
      </c>
      <c r="E126" s="45" t="s">
        <v>266</v>
      </c>
      <c r="F126" s="15"/>
      <c r="G126" s="15"/>
      <c r="H126" s="15"/>
      <c r="I126" s="9">
        <f t="shared" si="2"/>
        <v>0</v>
      </c>
    </row>
    <row r="127" spans="1:9" ht="21" customHeight="1">
      <c r="A127" s="28"/>
      <c r="B127" s="25" t="s">
        <v>267</v>
      </c>
      <c r="C127" s="95"/>
      <c r="D127" s="14">
        <v>83007351147</v>
      </c>
      <c r="E127" s="45" t="s">
        <v>268</v>
      </c>
      <c r="F127" s="15"/>
      <c r="G127" s="15"/>
      <c r="H127" s="15"/>
      <c r="I127" s="9">
        <f t="shared" si="2"/>
        <v>0</v>
      </c>
    </row>
    <row r="128" spans="1:9" ht="21" customHeight="1">
      <c r="A128" s="28"/>
      <c r="B128" s="25" t="s">
        <v>269</v>
      </c>
      <c r="C128" s="25"/>
      <c r="D128" s="14">
        <v>83007705623</v>
      </c>
      <c r="E128" s="45" t="s">
        <v>270</v>
      </c>
      <c r="F128" s="15"/>
      <c r="G128" s="15"/>
      <c r="H128" s="15"/>
      <c r="I128" s="9">
        <f t="shared" si="2"/>
        <v>0</v>
      </c>
    </row>
    <row r="129" spans="1:9" ht="21" customHeight="1">
      <c r="A129" s="28"/>
      <c r="B129" s="25" t="s">
        <v>271</v>
      </c>
      <c r="C129" s="25"/>
      <c r="D129" s="14">
        <v>83007812488</v>
      </c>
      <c r="E129" s="45" t="s">
        <v>272</v>
      </c>
      <c r="F129" s="15"/>
      <c r="G129" s="15"/>
      <c r="H129" s="15"/>
      <c r="I129" s="9">
        <f t="shared" si="2"/>
        <v>0</v>
      </c>
    </row>
    <row r="130" spans="1:9" ht="21" customHeight="1">
      <c r="A130" s="28"/>
      <c r="B130" s="25" t="s">
        <v>273</v>
      </c>
      <c r="C130" s="25"/>
      <c r="D130" s="14">
        <v>83007946440</v>
      </c>
      <c r="E130" s="45" t="s">
        <v>274</v>
      </c>
      <c r="F130" s="15"/>
      <c r="G130" s="15"/>
      <c r="H130" s="15"/>
      <c r="I130" s="9">
        <f t="shared" si="2"/>
        <v>0</v>
      </c>
    </row>
    <row r="131" spans="1:9" ht="21" customHeight="1" thickBot="1">
      <c r="A131" s="10" t="s">
        <v>0</v>
      </c>
      <c r="B131" s="24"/>
      <c r="C131" s="24"/>
      <c r="D131" s="13"/>
      <c r="E131" s="13"/>
      <c r="F131" s="34"/>
      <c r="G131" s="34"/>
      <c r="H131" s="34"/>
      <c r="I131" s="38">
        <f>SUM(I8:I130)</f>
        <v>8679.675833333333</v>
      </c>
    </row>
    <row r="132" ht="13.5" thickTop="1"/>
  </sheetData>
  <sheetProtection/>
  <mergeCells count="3">
    <mergeCell ref="G4:I4"/>
    <mergeCell ref="G2:I2"/>
    <mergeCell ref="H3:I3"/>
  </mergeCells>
  <printOptions horizontalCentered="1"/>
  <pageMargins left="0.3937007874015748" right="0.3937007874015748" top="0.5905511811023623" bottom="0.5905511811023623" header="0" footer="0"/>
  <pageSetup fitToHeight="0" fitToWidth="1" horizontalDpi="600" verticalDpi="600" orientation="portrait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131"/>
  <sheetViews>
    <sheetView view="pageBreakPreview" zoomScale="70" zoomScaleSheetLayoutView="70" zoomScalePageLayoutView="0" workbookViewId="0" topLeftCell="A49">
      <selection activeCell="A54" sqref="A54:IV56"/>
    </sheetView>
  </sheetViews>
  <sheetFormatPr defaultColWidth="11.421875" defaultRowHeight="12.75"/>
  <cols>
    <col min="1" max="1" width="15.140625" style="52" customWidth="1"/>
    <col min="2" max="2" width="85.28125" style="54" customWidth="1"/>
    <col min="3" max="3" width="103.7109375" style="54" customWidth="1"/>
    <col min="4" max="4" width="23.140625" style="52" customWidth="1"/>
    <col min="5" max="5" width="32.8515625" style="52" hidden="1" customWidth="1"/>
    <col min="6" max="6" width="22.57421875" style="52" customWidth="1"/>
    <col min="7" max="7" width="23.421875" style="52" customWidth="1"/>
    <col min="8" max="8" width="19.140625" style="52" customWidth="1"/>
    <col min="9" max="9" width="18.28125" style="52" bestFit="1" customWidth="1"/>
    <col min="10" max="10" width="11.421875" style="52" customWidth="1"/>
    <col min="11" max="11" width="11.57421875" style="52" bestFit="1" customWidth="1"/>
    <col min="12" max="16384" width="11.421875" style="52" customWidth="1"/>
  </cols>
  <sheetData>
    <row r="1" spans="4:5" ht="15.75" customHeight="1">
      <c r="D1" s="1"/>
      <c r="E1" s="1"/>
    </row>
    <row r="2" spans="4:9" ht="42.75" customHeight="1">
      <c r="D2" s="1"/>
      <c r="E2" s="1"/>
      <c r="F2" s="101" t="s">
        <v>116</v>
      </c>
      <c r="G2" s="101"/>
      <c r="H2" s="101"/>
      <c r="I2" s="101"/>
    </row>
    <row r="3" spans="4:9" ht="13.5" customHeight="1">
      <c r="D3" s="1"/>
      <c r="E3" s="1"/>
      <c r="G3" s="100"/>
      <c r="H3" s="100"/>
      <c r="I3" s="100"/>
    </row>
    <row r="4" spans="4:9" ht="21.75" customHeight="1">
      <c r="D4" s="1"/>
      <c r="E4" s="1"/>
      <c r="F4" s="99" t="s">
        <v>111</v>
      </c>
      <c r="G4" s="99"/>
      <c r="H4" s="99"/>
      <c r="I4" s="99"/>
    </row>
    <row r="5" spans="4:5" ht="15.75" customHeight="1">
      <c r="D5" s="1"/>
      <c r="E5" s="1"/>
    </row>
    <row r="6" spans="1:8" ht="15.75" customHeight="1" thickBot="1">
      <c r="A6" s="55"/>
      <c r="B6" s="56"/>
      <c r="C6" s="56"/>
      <c r="D6" s="3"/>
      <c r="E6" s="3"/>
      <c r="F6" s="55"/>
      <c r="G6" s="55"/>
      <c r="H6" s="55"/>
    </row>
    <row r="7" spans="1:9" ht="21" customHeight="1" thickTop="1">
      <c r="A7" s="57" t="s">
        <v>1</v>
      </c>
      <c r="B7" s="58" t="s">
        <v>3</v>
      </c>
      <c r="C7" s="23" t="s">
        <v>285</v>
      </c>
      <c r="D7" s="11" t="s">
        <v>2</v>
      </c>
      <c r="E7" s="16" t="s">
        <v>11</v>
      </c>
      <c r="F7" s="59" t="s">
        <v>4</v>
      </c>
      <c r="G7" s="59" t="s">
        <v>5</v>
      </c>
      <c r="H7" s="73" t="s">
        <v>13</v>
      </c>
      <c r="I7" s="53" t="s">
        <v>0</v>
      </c>
    </row>
    <row r="8" spans="1:9" ht="21" customHeight="1">
      <c r="A8" s="60"/>
      <c r="B8" s="72" t="s">
        <v>15</v>
      </c>
      <c r="C8" s="72" t="s">
        <v>316</v>
      </c>
      <c r="D8" s="12">
        <v>83006884161</v>
      </c>
      <c r="E8" s="30" t="s">
        <v>16</v>
      </c>
      <c r="F8" s="46"/>
      <c r="G8" s="46"/>
      <c r="H8" s="74"/>
      <c r="I8" s="51">
        <f>F8+G8+H8</f>
        <v>0</v>
      </c>
    </row>
    <row r="9" spans="1:9" ht="21" customHeight="1">
      <c r="A9" s="60"/>
      <c r="B9" s="26" t="s">
        <v>17</v>
      </c>
      <c r="C9" s="26" t="s">
        <v>314</v>
      </c>
      <c r="D9" s="12">
        <v>83001699293</v>
      </c>
      <c r="E9" s="30" t="s">
        <v>19</v>
      </c>
      <c r="F9" s="46">
        <v>1026.5</v>
      </c>
      <c r="G9" s="46">
        <v>0</v>
      </c>
      <c r="H9" s="74">
        <v>0</v>
      </c>
      <c r="I9" s="51">
        <f aca="true" t="shared" si="0" ref="I9:I59">F9+G9+H9</f>
        <v>1026.5</v>
      </c>
    </row>
    <row r="10" spans="1:9" ht="21" customHeight="1">
      <c r="A10" s="60"/>
      <c r="B10" s="26" t="s">
        <v>18</v>
      </c>
      <c r="C10" s="26" t="s">
        <v>324</v>
      </c>
      <c r="D10" s="12">
        <v>83002793469</v>
      </c>
      <c r="E10" s="30" t="s">
        <v>20</v>
      </c>
      <c r="F10" s="46"/>
      <c r="G10" s="46"/>
      <c r="H10" s="74"/>
      <c r="I10" s="51">
        <f t="shared" si="0"/>
        <v>0</v>
      </c>
    </row>
    <row r="11" spans="1:9" ht="21" customHeight="1">
      <c r="A11" s="60"/>
      <c r="B11" s="26" t="s">
        <v>21</v>
      </c>
      <c r="C11" s="26" t="s">
        <v>365</v>
      </c>
      <c r="D11" s="12">
        <v>83005319585</v>
      </c>
      <c r="E11" s="30" t="s">
        <v>22</v>
      </c>
      <c r="F11" s="46"/>
      <c r="G11" s="46"/>
      <c r="H11" s="74"/>
      <c r="I11" s="51">
        <f t="shared" si="0"/>
        <v>0</v>
      </c>
    </row>
    <row r="12" spans="1:9" ht="21" customHeight="1">
      <c r="A12" s="60"/>
      <c r="B12" s="26" t="s">
        <v>23</v>
      </c>
      <c r="C12" s="26" t="s">
        <v>325</v>
      </c>
      <c r="D12" s="61">
        <v>999395654431</v>
      </c>
      <c r="E12" s="30" t="s">
        <v>24</v>
      </c>
      <c r="F12" s="46"/>
      <c r="G12" s="46"/>
      <c r="H12" s="74"/>
      <c r="I12" s="51">
        <f t="shared" si="0"/>
        <v>0</v>
      </c>
    </row>
    <row r="13" spans="1:9" ht="21" customHeight="1">
      <c r="A13" s="60"/>
      <c r="B13" s="26" t="s">
        <v>25</v>
      </c>
      <c r="C13" s="26" t="s">
        <v>315</v>
      </c>
      <c r="D13" s="61">
        <v>999395655454</v>
      </c>
      <c r="E13" s="30" t="s">
        <v>26</v>
      </c>
      <c r="F13" s="46"/>
      <c r="G13" s="46"/>
      <c r="H13" s="74"/>
      <c r="I13" s="51">
        <f t="shared" si="0"/>
        <v>0</v>
      </c>
    </row>
    <row r="14" spans="1:9" ht="21" customHeight="1">
      <c r="A14" s="60"/>
      <c r="B14" s="26" t="s">
        <v>27</v>
      </c>
      <c r="C14" s="26" t="s">
        <v>326</v>
      </c>
      <c r="D14" s="61">
        <v>512012286</v>
      </c>
      <c r="E14" s="30" t="s">
        <v>28</v>
      </c>
      <c r="F14" s="46"/>
      <c r="G14" s="46"/>
      <c r="H14" s="74"/>
      <c r="I14" s="51">
        <f t="shared" si="0"/>
        <v>0</v>
      </c>
    </row>
    <row r="15" spans="1:9" ht="21" customHeight="1">
      <c r="A15" s="60"/>
      <c r="B15" s="26" t="s">
        <v>29</v>
      </c>
      <c r="C15" s="26" t="s">
        <v>327</v>
      </c>
      <c r="D15" s="61">
        <v>999395659634</v>
      </c>
      <c r="E15" s="30" t="s">
        <v>30</v>
      </c>
      <c r="F15" s="46"/>
      <c r="G15" s="46"/>
      <c r="H15" s="74"/>
      <c r="I15" s="51">
        <f t="shared" si="0"/>
        <v>0</v>
      </c>
    </row>
    <row r="16" spans="1:9" ht="21" customHeight="1">
      <c r="A16" s="60"/>
      <c r="B16" s="26" t="s">
        <v>31</v>
      </c>
      <c r="C16" s="26" t="s">
        <v>317</v>
      </c>
      <c r="D16" s="61">
        <v>999395660462</v>
      </c>
      <c r="E16" s="30" t="s">
        <v>32</v>
      </c>
      <c r="F16" s="46"/>
      <c r="G16" s="46"/>
      <c r="H16" s="74"/>
      <c r="I16" s="51">
        <f t="shared" si="0"/>
        <v>0</v>
      </c>
    </row>
    <row r="17" spans="1:9" ht="21" customHeight="1">
      <c r="A17" s="60"/>
      <c r="B17" s="26" t="s">
        <v>33</v>
      </c>
      <c r="C17" s="26" t="s">
        <v>366</v>
      </c>
      <c r="D17" s="61">
        <v>999395662284</v>
      </c>
      <c r="E17" s="30" t="s">
        <v>34</v>
      </c>
      <c r="F17" s="46"/>
      <c r="G17" s="46"/>
      <c r="H17" s="74"/>
      <c r="I17" s="51">
        <f t="shared" si="0"/>
        <v>0</v>
      </c>
    </row>
    <row r="18" spans="1:9" ht="21" customHeight="1">
      <c r="A18" s="60"/>
      <c r="B18" s="26" t="s">
        <v>35</v>
      </c>
      <c r="C18" s="26" t="s">
        <v>292</v>
      </c>
      <c r="D18" s="61">
        <v>999395662947</v>
      </c>
      <c r="E18" s="30" t="s">
        <v>36</v>
      </c>
      <c r="F18" s="46"/>
      <c r="G18" s="46"/>
      <c r="H18" s="74"/>
      <c r="I18" s="51">
        <f t="shared" si="0"/>
        <v>0</v>
      </c>
    </row>
    <row r="19" spans="1:9" ht="21" customHeight="1">
      <c r="A19" s="60"/>
      <c r="B19" s="26" t="s">
        <v>37</v>
      </c>
      <c r="C19" s="26" t="s">
        <v>369</v>
      </c>
      <c r="D19" s="61">
        <v>999395663410</v>
      </c>
      <c r="E19" s="30" t="s">
        <v>38</v>
      </c>
      <c r="F19" s="46"/>
      <c r="G19" s="46"/>
      <c r="H19" s="74"/>
      <c r="I19" s="51">
        <f t="shared" si="0"/>
        <v>0</v>
      </c>
    </row>
    <row r="20" spans="1:9" ht="21" customHeight="1">
      <c r="A20" s="60"/>
      <c r="B20" s="26" t="s">
        <v>39</v>
      </c>
      <c r="C20" s="26" t="s">
        <v>293</v>
      </c>
      <c r="D20" s="61">
        <v>999395665004</v>
      </c>
      <c r="E20" s="30" t="s">
        <v>40</v>
      </c>
      <c r="F20" s="46"/>
      <c r="G20" s="46"/>
      <c r="H20" s="74"/>
      <c r="I20" s="51">
        <f t="shared" si="0"/>
        <v>0</v>
      </c>
    </row>
    <row r="21" spans="1:9" s="67" customFormat="1" ht="21" customHeight="1">
      <c r="A21" s="60"/>
      <c r="B21" s="26" t="s">
        <v>41</v>
      </c>
      <c r="C21" s="26" t="s">
        <v>367</v>
      </c>
      <c r="D21" s="61">
        <v>999395665500</v>
      </c>
      <c r="E21" s="30" t="s">
        <v>42</v>
      </c>
      <c r="F21" s="46"/>
      <c r="G21" s="46"/>
      <c r="H21" s="74"/>
      <c r="I21" s="51">
        <f t="shared" si="0"/>
        <v>0</v>
      </c>
    </row>
    <row r="22" spans="1:9" s="67" customFormat="1" ht="21" customHeight="1">
      <c r="A22" s="60"/>
      <c r="B22" s="26" t="s">
        <v>43</v>
      </c>
      <c r="C22" s="93"/>
      <c r="D22" s="61">
        <v>999395674678</v>
      </c>
      <c r="E22" s="30" t="s">
        <v>44</v>
      </c>
      <c r="F22" s="46"/>
      <c r="G22" s="46"/>
      <c r="H22" s="74"/>
      <c r="I22" s="51">
        <f t="shared" si="0"/>
        <v>0</v>
      </c>
    </row>
    <row r="23" spans="1:9" s="63" customFormat="1" ht="21" customHeight="1">
      <c r="A23" s="60"/>
      <c r="B23" s="26" t="s">
        <v>45</v>
      </c>
      <c r="C23" s="26" t="s">
        <v>307</v>
      </c>
      <c r="D23" s="61">
        <v>999395675751</v>
      </c>
      <c r="E23" s="30" t="s">
        <v>46</v>
      </c>
      <c r="F23" s="46"/>
      <c r="G23" s="46"/>
      <c r="H23" s="74"/>
      <c r="I23" s="51">
        <f t="shared" si="0"/>
        <v>0</v>
      </c>
    </row>
    <row r="24" spans="1:9" s="67" customFormat="1" ht="21" customHeight="1">
      <c r="A24" s="60"/>
      <c r="B24" s="26" t="s">
        <v>47</v>
      </c>
      <c r="C24" s="26" t="s">
        <v>318</v>
      </c>
      <c r="D24" s="61">
        <v>999395676257</v>
      </c>
      <c r="E24" s="30" t="s">
        <v>48</v>
      </c>
      <c r="F24" s="46"/>
      <c r="G24" s="46"/>
      <c r="H24" s="74"/>
      <c r="I24" s="51">
        <f t="shared" si="0"/>
        <v>0</v>
      </c>
    </row>
    <row r="25" spans="1:9" s="67" customFormat="1" ht="21" customHeight="1">
      <c r="A25" s="60"/>
      <c r="B25" s="26" t="s">
        <v>49</v>
      </c>
      <c r="C25" s="26" t="s">
        <v>328</v>
      </c>
      <c r="D25" s="61">
        <v>999395676905</v>
      </c>
      <c r="E25" s="30" t="s">
        <v>50</v>
      </c>
      <c r="F25" s="46"/>
      <c r="G25" s="46"/>
      <c r="H25" s="74"/>
      <c r="I25" s="51">
        <f t="shared" si="0"/>
        <v>0</v>
      </c>
    </row>
    <row r="26" spans="1:9" ht="21" customHeight="1">
      <c r="A26" s="60"/>
      <c r="B26" s="26" t="s">
        <v>51</v>
      </c>
      <c r="C26" s="93"/>
      <c r="D26" s="61">
        <v>999395677339</v>
      </c>
      <c r="E26" s="30" t="s">
        <v>52</v>
      </c>
      <c r="F26" s="46"/>
      <c r="G26" s="46"/>
      <c r="H26" s="74"/>
      <c r="I26" s="51">
        <f t="shared" si="0"/>
        <v>0</v>
      </c>
    </row>
    <row r="27" spans="1:9" ht="21" customHeight="1">
      <c r="A27" s="60"/>
      <c r="B27" s="26" t="s">
        <v>53</v>
      </c>
      <c r="C27" s="93"/>
      <c r="D27" s="61">
        <v>999395680029</v>
      </c>
      <c r="E27" s="30" t="s">
        <v>54</v>
      </c>
      <c r="F27" s="46"/>
      <c r="G27" s="46"/>
      <c r="H27" s="74"/>
      <c r="I27" s="51">
        <f t="shared" si="0"/>
        <v>0</v>
      </c>
    </row>
    <row r="28" spans="1:9" ht="21" customHeight="1">
      <c r="A28" s="60"/>
      <c r="B28" s="26" t="s">
        <v>55</v>
      </c>
      <c r="C28" s="26" t="s">
        <v>294</v>
      </c>
      <c r="D28" s="61">
        <v>999395682858</v>
      </c>
      <c r="E28" s="30" t="s">
        <v>56</v>
      </c>
      <c r="F28" s="46"/>
      <c r="G28" s="46"/>
      <c r="H28" s="74"/>
      <c r="I28" s="51">
        <f t="shared" si="0"/>
        <v>0</v>
      </c>
    </row>
    <row r="29" spans="1:9" ht="21" customHeight="1">
      <c r="A29" s="60"/>
      <c r="B29" s="26" t="s">
        <v>57</v>
      </c>
      <c r="C29" s="26" t="s">
        <v>295</v>
      </c>
      <c r="D29" s="12">
        <v>512095448</v>
      </c>
      <c r="E29" s="30" t="s">
        <v>58</v>
      </c>
      <c r="F29" s="46"/>
      <c r="G29" s="46"/>
      <c r="H29" s="74"/>
      <c r="I29" s="51">
        <f t="shared" si="0"/>
        <v>0</v>
      </c>
    </row>
    <row r="30" spans="1:9" ht="21" customHeight="1">
      <c r="A30" s="60"/>
      <c r="B30" s="26" t="s">
        <v>59</v>
      </c>
      <c r="C30" s="26" t="s">
        <v>296</v>
      </c>
      <c r="D30" s="61">
        <v>999395695033</v>
      </c>
      <c r="E30" s="30" t="s">
        <v>60</v>
      </c>
      <c r="F30" s="46"/>
      <c r="G30" s="46"/>
      <c r="H30" s="74"/>
      <c r="I30" s="51">
        <f t="shared" si="0"/>
        <v>0</v>
      </c>
    </row>
    <row r="31" spans="1:9" ht="21" customHeight="1">
      <c r="A31" s="60"/>
      <c r="B31" s="26" t="s">
        <v>61</v>
      </c>
      <c r="C31" s="26" t="s">
        <v>296</v>
      </c>
      <c r="D31" s="61">
        <v>999395696742</v>
      </c>
      <c r="E31" s="30" t="s">
        <v>62</v>
      </c>
      <c r="F31" s="46"/>
      <c r="G31" s="46"/>
      <c r="H31" s="74"/>
      <c r="I31" s="51">
        <f t="shared" si="0"/>
        <v>0</v>
      </c>
    </row>
    <row r="32" spans="1:9" ht="21" customHeight="1">
      <c r="A32" s="60"/>
      <c r="B32" s="26" t="s">
        <v>63</v>
      </c>
      <c r="C32" s="26" t="s">
        <v>308</v>
      </c>
      <c r="D32" s="61">
        <v>999395697615</v>
      </c>
      <c r="E32" s="30" t="s">
        <v>64</v>
      </c>
      <c r="F32" s="46">
        <f>4953/2</f>
        <v>2476.5</v>
      </c>
      <c r="G32" s="46">
        <v>0</v>
      </c>
      <c r="H32" s="74">
        <v>0</v>
      </c>
      <c r="I32" s="51">
        <f t="shared" si="0"/>
        <v>2476.5</v>
      </c>
    </row>
    <row r="33" spans="1:9" ht="21" customHeight="1">
      <c r="A33" s="60"/>
      <c r="B33" s="26" t="s">
        <v>65</v>
      </c>
      <c r="C33" s="26" t="s">
        <v>297</v>
      </c>
      <c r="D33" s="61">
        <v>999395698321</v>
      </c>
      <c r="E33" s="30" t="s">
        <v>66</v>
      </c>
      <c r="F33" s="46">
        <f>5015/2</f>
        <v>2507.5</v>
      </c>
      <c r="G33" s="46">
        <v>0</v>
      </c>
      <c r="H33" s="74">
        <v>0</v>
      </c>
      <c r="I33" s="51">
        <f t="shared" si="0"/>
        <v>2507.5</v>
      </c>
    </row>
    <row r="34" spans="1:9" s="68" customFormat="1" ht="21" customHeight="1">
      <c r="A34" s="60"/>
      <c r="B34" s="26" t="s">
        <v>67</v>
      </c>
      <c r="C34" s="26" t="s">
        <v>309</v>
      </c>
      <c r="D34" s="62">
        <v>999395698661</v>
      </c>
      <c r="E34" s="31" t="s">
        <v>68</v>
      </c>
      <c r="F34" s="47">
        <f>1561/2</f>
        <v>780.5</v>
      </c>
      <c r="G34" s="47">
        <v>0</v>
      </c>
      <c r="H34" s="75">
        <v>0</v>
      </c>
      <c r="I34" s="51">
        <f t="shared" si="0"/>
        <v>780.5</v>
      </c>
    </row>
    <row r="35" spans="1:9" ht="21" customHeight="1">
      <c r="A35" s="60"/>
      <c r="B35" s="26" t="s">
        <v>69</v>
      </c>
      <c r="C35" s="26"/>
      <c r="D35" s="61">
        <v>999395699042</v>
      </c>
      <c r="E35" s="30" t="s">
        <v>70</v>
      </c>
      <c r="F35" s="46">
        <f>4446/2</f>
        <v>2223</v>
      </c>
      <c r="G35" s="46">
        <v>0</v>
      </c>
      <c r="H35" s="74">
        <v>0</v>
      </c>
      <c r="I35" s="51">
        <f t="shared" si="0"/>
        <v>2223</v>
      </c>
    </row>
    <row r="36" spans="1:9" ht="21" customHeight="1">
      <c r="A36" s="60"/>
      <c r="B36" s="26" t="s">
        <v>71</v>
      </c>
      <c r="C36" s="93"/>
      <c r="D36" s="61">
        <v>999395699192</v>
      </c>
      <c r="E36" s="30" t="s">
        <v>72</v>
      </c>
      <c r="F36" s="47">
        <f>1992/2</f>
        <v>996</v>
      </c>
      <c r="G36" s="47">
        <v>0</v>
      </c>
      <c r="H36" s="75">
        <v>0</v>
      </c>
      <c r="I36" s="92">
        <f t="shared" si="0"/>
        <v>996</v>
      </c>
    </row>
    <row r="37" spans="1:9" ht="21" customHeight="1">
      <c r="A37" s="60"/>
      <c r="B37" s="26" t="s">
        <v>73</v>
      </c>
      <c r="C37" s="93"/>
      <c r="D37" s="61">
        <v>999395699382</v>
      </c>
      <c r="E37" s="30" t="s">
        <v>74</v>
      </c>
      <c r="F37" s="46">
        <f>2425/2</f>
        <v>1212.5</v>
      </c>
      <c r="G37" s="46">
        <v>0</v>
      </c>
      <c r="H37" s="74">
        <v>0</v>
      </c>
      <c r="I37" s="51">
        <f t="shared" si="0"/>
        <v>1212.5</v>
      </c>
    </row>
    <row r="38" spans="1:9" ht="21" customHeight="1">
      <c r="A38" s="60"/>
      <c r="B38" s="26" t="s">
        <v>75</v>
      </c>
      <c r="C38" s="26" t="s">
        <v>298</v>
      </c>
      <c r="D38" s="61">
        <v>999395699631</v>
      </c>
      <c r="E38" s="30" t="s">
        <v>76</v>
      </c>
      <c r="F38" s="46">
        <f>231/2</f>
        <v>115.5</v>
      </c>
      <c r="G38" s="46">
        <v>0</v>
      </c>
      <c r="H38" s="74">
        <v>0</v>
      </c>
      <c r="I38" s="51">
        <f t="shared" si="0"/>
        <v>115.5</v>
      </c>
    </row>
    <row r="39" spans="1:9" ht="21" customHeight="1">
      <c r="A39" s="60"/>
      <c r="B39" s="26" t="s">
        <v>77</v>
      </c>
      <c r="C39" s="93"/>
      <c r="D39" s="61">
        <v>999395699855</v>
      </c>
      <c r="E39" s="30" t="s">
        <v>78</v>
      </c>
      <c r="F39" s="46">
        <f>1580/2</f>
        <v>790</v>
      </c>
      <c r="G39" s="46">
        <v>0</v>
      </c>
      <c r="H39" s="74">
        <v>0</v>
      </c>
      <c r="I39" s="51">
        <f t="shared" si="0"/>
        <v>790</v>
      </c>
    </row>
    <row r="40" spans="1:9" ht="21" customHeight="1">
      <c r="A40" s="60"/>
      <c r="B40" s="26" t="s">
        <v>79</v>
      </c>
      <c r="C40" s="26" t="s">
        <v>299</v>
      </c>
      <c r="D40" s="61">
        <v>999395699914</v>
      </c>
      <c r="E40" s="30" t="s">
        <v>80</v>
      </c>
      <c r="F40" s="46">
        <f>1755/2</f>
        <v>877.5</v>
      </c>
      <c r="G40" s="46">
        <v>0</v>
      </c>
      <c r="H40" s="74">
        <v>0</v>
      </c>
      <c r="I40" s="51">
        <f t="shared" si="0"/>
        <v>877.5</v>
      </c>
    </row>
    <row r="41" spans="1:9" ht="21" customHeight="1">
      <c r="A41" s="60"/>
      <c r="B41" s="26" t="s">
        <v>81</v>
      </c>
      <c r="C41" s="26" t="s">
        <v>329</v>
      </c>
      <c r="D41" s="61">
        <v>999395720675</v>
      </c>
      <c r="E41" s="30" t="s">
        <v>82</v>
      </c>
      <c r="F41" s="46">
        <f>2632/2</f>
        <v>1316</v>
      </c>
      <c r="G41" s="46">
        <v>0</v>
      </c>
      <c r="H41" s="74">
        <v>0</v>
      </c>
      <c r="I41" s="51">
        <f t="shared" si="0"/>
        <v>1316</v>
      </c>
    </row>
    <row r="42" spans="1:9" ht="21" customHeight="1">
      <c r="A42" s="60"/>
      <c r="B42" s="26" t="s">
        <v>83</v>
      </c>
      <c r="C42" s="26" t="s">
        <v>300</v>
      </c>
      <c r="D42" s="61">
        <v>999395721493</v>
      </c>
      <c r="E42" s="30" t="s">
        <v>84</v>
      </c>
      <c r="F42" s="46">
        <f>2988/2</f>
        <v>1494</v>
      </c>
      <c r="G42" s="46">
        <v>0</v>
      </c>
      <c r="H42" s="74">
        <v>0</v>
      </c>
      <c r="I42" s="51">
        <f t="shared" si="0"/>
        <v>1494</v>
      </c>
    </row>
    <row r="43" spans="1:9" ht="21" customHeight="1">
      <c r="A43" s="60"/>
      <c r="B43" s="26" t="s">
        <v>85</v>
      </c>
      <c r="C43" s="26"/>
      <c r="D43" s="61">
        <v>999395728957</v>
      </c>
      <c r="E43" s="30" t="s">
        <v>86</v>
      </c>
      <c r="F43" s="46">
        <f>583/2</f>
        <v>291.5</v>
      </c>
      <c r="G43" s="46">
        <v>0</v>
      </c>
      <c r="H43" s="74">
        <v>0</v>
      </c>
      <c r="I43" s="51">
        <f t="shared" si="0"/>
        <v>291.5</v>
      </c>
    </row>
    <row r="44" spans="1:9" ht="21" customHeight="1">
      <c r="A44" s="60"/>
      <c r="B44" s="26" t="s">
        <v>87</v>
      </c>
      <c r="C44" s="26" t="s">
        <v>330</v>
      </c>
      <c r="D44" s="61">
        <v>999395729357</v>
      </c>
      <c r="E44" s="30" t="s">
        <v>88</v>
      </c>
      <c r="F44" s="46">
        <f>1033/2</f>
        <v>516.5</v>
      </c>
      <c r="G44" s="46">
        <v>0</v>
      </c>
      <c r="H44" s="74">
        <v>0</v>
      </c>
      <c r="I44" s="51">
        <f t="shared" si="0"/>
        <v>516.5</v>
      </c>
    </row>
    <row r="45" spans="1:9" ht="21" customHeight="1">
      <c r="A45" s="60"/>
      <c r="B45" s="26" t="s">
        <v>89</v>
      </c>
      <c r="C45" s="93"/>
      <c r="D45" s="61">
        <v>999395729815</v>
      </c>
      <c r="E45" s="30" t="s">
        <v>90</v>
      </c>
      <c r="F45" s="46">
        <f>1432/2</f>
        <v>716</v>
      </c>
      <c r="G45" s="46">
        <v>0</v>
      </c>
      <c r="H45" s="74">
        <v>0</v>
      </c>
      <c r="I45" s="51">
        <f t="shared" si="0"/>
        <v>716</v>
      </c>
    </row>
    <row r="46" spans="1:9" ht="21" customHeight="1">
      <c r="A46" s="60"/>
      <c r="B46" s="26" t="s">
        <v>94</v>
      </c>
      <c r="C46" s="26" t="s">
        <v>331</v>
      </c>
      <c r="D46" s="61">
        <v>999395730546</v>
      </c>
      <c r="E46" s="30" t="s">
        <v>91</v>
      </c>
      <c r="F46" s="46">
        <f>546/2</f>
        <v>273</v>
      </c>
      <c r="G46" s="46">
        <v>0</v>
      </c>
      <c r="H46" s="74">
        <v>0</v>
      </c>
      <c r="I46" s="51">
        <f t="shared" si="0"/>
        <v>273</v>
      </c>
    </row>
    <row r="47" spans="1:9" ht="21" customHeight="1">
      <c r="A47" s="60"/>
      <c r="B47" s="26" t="s">
        <v>92</v>
      </c>
      <c r="C47" s="26" t="s">
        <v>319</v>
      </c>
      <c r="D47" s="61">
        <v>999395731005</v>
      </c>
      <c r="E47" s="32" t="s">
        <v>93</v>
      </c>
      <c r="F47" s="46">
        <f>1149/2</f>
        <v>574.5</v>
      </c>
      <c r="G47" s="46">
        <v>0</v>
      </c>
      <c r="H47" s="74">
        <v>0</v>
      </c>
      <c r="I47" s="51">
        <f t="shared" si="0"/>
        <v>574.5</v>
      </c>
    </row>
    <row r="48" spans="1:9" ht="21" customHeight="1">
      <c r="A48" s="60"/>
      <c r="B48" s="26" t="s">
        <v>95</v>
      </c>
      <c r="C48" s="93"/>
      <c r="D48" s="61">
        <v>999395731797</v>
      </c>
      <c r="E48" s="30" t="s">
        <v>96</v>
      </c>
      <c r="F48" s="46">
        <f>16/2</f>
        <v>8</v>
      </c>
      <c r="G48" s="46">
        <v>0</v>
      </c>
      <c r="H48" s="74">
        <v>0</v>
      </c>
      <c r="I48" s="51">
        <f t="shared" si="0"/>
        <v>8</v>
      </c>
    </row>
    <row r="49" spans="1:9" ht="21" customHeight="1">
      <c r="A49" s="60"/>
      <c r="B49" s="26" t="s">
        <v>97</v>
      </c>
      <c r="C49" s="26"/>
      <c r="D49" s="61">
        <v>999395850272</v>
      </c>
      <c r="E49" s="30" t="s">
        <v>98</v>
      </c>
      <c r="F49" s="46"/>
      <c r="G49" s="46"/>
      <c r="H49" s="74"/>
      <c r="I49" s="51">
        <f t="shared" si="0"/>
        <v>0</v>
      </c>
    </row>
    <row r="50" spans="1:9" ht="21" customHeight="1">
      <c r="A50" s="60"/>
      <c r="B50" s="26" t="s">
        <v>99</v>
      </c>
      <c r="C50" s="93"/>
      <c r="D50" s="61">
        <v>999395869847</v>
      </c>
      <c r="E50" s="30" t="s">
        <v>100</v>
      </c>
      <c r="F50" s="46"/>
      <c r="G50" s="46"/>
      <c r="H50" s="74"/>
      <c r="I50" s="51">
        <f t="shared" si="0"/>
        <v>0</v>
      </c>
    </row>
    <row r="51" spans="1:9" ht="21" customHeight="1">
      <c r="A51" s="60"/>
      <c r="B51" s="26" t="s">
        <v>101</v>
      </c>
      <c r="C51" s="26" t="s">
        <v>371</v>
      </c>
      <c r="D51" s="12">
        <v>83007836944</v>
      </c>
      <c r="E51" s="30" t="s">
        <v>102</v>
      </c>
      <c r="F51" s="46"/>
      <c r="G51" s="46"/>
      <c r="H51" s="74"/>
      <c r="I51" s="51">
        <f t="shared" si="0"/>
        <v>0</v>
      </c>
    </row>
    <row r="52" spans="1:9" ht="21" customHeight="1">
      <c r="A52" s="60"/>
      <c r="B52" s="26" t="s">
        <v>103</v>
      </c>
      <c r="C52" s="26" t="s">
        <v>286</v>
      </c>
      <c r="D52" s="61">
        <v>999418107083</v>
      </c>
      <c r="E52" s="30" t="s">
        <v>104</v>
      </c>
      <c r="F52" s="46">
        <f>4093/2</f>
        <v>2046.5</v>
      </c>
      <c r="G52" s="46">
        <v>0</v>
      </c>
      <c r="H52" s="74">
        <v>0</v>
      </c>
      <c r="I52" s="51">
        <f t="shared" si="0"/>
        <v>2046.5</v>
      </c>
    </row>
    <row r="53" spans="1:9" ht="21" customHeight="1">
      <c r="A53" s="60"/>
      <c r="B53" s="26" t="s">
        <v>105</v>
      </c>
      <c r="C53" s="26" t="s">
        <v>332</v>
      </c>
      <c r="D53" s="61">
        <v>999418108530</v>
      </c>
      <c r="E53" s="30" t="s">
        <v>106</v>
      </c>
      <c r="F53" s="46"/>
      <c r="G53" s="46"/>
      <c r="H53" s="74"/>
      <c r="I53" s="51">
        <f t="shared" si="0"/>
        <v>0</v>
      </c>
    </row>
    <row r="54" spans="1:9" ht="21" customHeight="1">
      <c r="A54" s="60"/>
      <c r="B54" s="26" t="s">
        <v>107</v>
      </c>
      <c r="C54" s="26" t="s">
        <v>302</v>
      </c>
      <c r="D54" s="61">
        <v>999444028261</v>
      </c>
      <c r="E54" s="30" t="s">
        <v>108</v>
      </c>
      <c r="F54" s="46"/>
      <c r="G54" s="46"/>
      <c r="H54" s="74"/>
      <c r="I54" s="51">
        <f t="shared" si="0"/>
        <v>0</v>
      </c>
    </row>
    <row r="55" spans="1:9" ht="21" customHeight="1">
      <c r="A55" s="60"/>
      <c r="B55" s="26" t="s">
        <v>109</v>
      </c>
      <c r="C55" s="26" t="s">
        <v>313</v>
      </c>
      <c r="D55" s="12">
        <v>83000769293</v>
      </c>
      <c r="E55" s="30" t="s">
        <v>110</v>
      </c>
      <c r="F55" s="46"/>
      <c r="G55" s="46"/>
      <c r="H55" s="74"/>
      <c r="I55" s="51">
        <f t="shared" si="0"/>
        <v>0</v>
      </c>
    </row>
    <row r="56" spans="1:9" s="67" customFormat="1" ht="21" customHeight="1">
      <c r="A56" s="60"/>
      <c r="B56" s="35" t="s">
        <v>125</v>
      </c>
      <c r="C56" s="94"/>
      <c r="D56" s="36">
        <v>60006203645</v>
      </c>
      <c r="E56" s="37" t="s">
        <v>126</v>
      </c>
      <c r="F56" s="46"/>
      <c r="G56" s="46"/>
      <c r="H56" s="48"/>
      <c r="I56" s="51">
        <f t="shared" si="0"/>
        <v>0</v>
      </c>
    </row>
    <row r="57" spans="1:9" s="67" customFormat="1" ht="21" customHeight="1">
      <c r="A57" s="60"/>
      <c r="B57" s="26" t="s">
        <v>127</v>
      </c>
      <c r="C57" s="93"/>
      <c r="D57" s="12">
        <v>60007966411</v>
      </c>
      <c r="E57" s="30" t="s">
        <v>128</v>
      </c>
      <c r="F57" s="46"/>
      <c r="G57" s="46"/>
      <c r="H57" s="74"/>
      <c r="I57" s="51">
        <f t="shared" si="0"/>
        <v>0</v>
      </c>
    </row>
    <row r="58" spans="1:9" ht="21" customHeight="1">
      <c r="A58" s="60"/>
      <c r="B58" s="26" t="s">
        <v>129</v>
      </c>
      <c r="C58" s="26" t="s">
        <v>289</v>
      </c>
      <c r="D58" s="12">
        <v>60006643135</v>
      </c>
      <c r="E58" s="30" t="s">
        <v>130</v>
      </c>
      <c r="F58" s="46">
        <f>656/2</f>
        <v>328</v>
      </c>
      <c r="G58" s="46">
        <v>0</v>
      </c>
      <c r="H58" s="74">
        <v>0</v>
      </c>
      <c r="I58" s="51">
        <f t="shared" si="0"/>
        <v>328</v>
      </c>
    </row>
    <row r="59" spans="1:9" ht="21" customHeight="1">
      <c r="A59" s="60"/>
      <c r="B59" s="26" t="s">
        <v>131</v>
      </c>
      <c r="C59" s="93"/>
      <c r="D59" s="12">
        <v>60007843244</v>
      </c>
      <c r="E59" s="30" t="s">
        <v>132</v>
      </c>
      <c r="F59" s="46">
        <f>622/2</f>
        <v>311</v>
      </c>
      <c r="G59" s="46">
        <v>0</v>
      </c>
      <c r="H59" s="74">
        <v>0</v>
      </c>
      <c r="I59" s="51">
        <f t="shared" si="0"/>
        <v>311</v>
      </c>
    </row>
    <row r="60" spans="1:9" ht="21" customHeight="1">
      <c r="A60" s="60"/>
      <c r="B60" s="26" t="s">
        <v>133</v>
      </c>
      <c r="C60" s="26" t="s">
        <v>322</v>
      </c>
      <c r="D60" s="12">
        <v>60007843069</v>
      </c>
      <c r="E60" s="30" t="s">
        <v>134</v>
      </c>
      <c r="F60" s="46">
        <f>192/2</f>
        <v>96</v>
      </c>
      <c r="G60" s="46">
        <v>0</v>
      </c>
      <c r="H60" s="74">
        <v>0</v>
      </c>
      <c r="I60" s="51">
        <f aca="true" t="shared" si="1" ref="I60:I120">F60+G60+H60</f>
        <v>96</v>
      </c>
    </row>
    <row r="61" spans="1:9" ht="21" customHeight="1">
      <c r="A61" s="60"/>
      <c r="B61" s="26" t="s">
        <v>135</v>
      </c>
      <c r="C61" s="26" t="s">
        <v>353</v>
      </c>
      <c r="D61" s="12">
        <v>60007843073</v>
      </c>
      <c r="E61" s="30" t="s">
        <v>136</v>
      </c>
      <c r="F61" s="46">
        <f>467/2</f>
        <v>233.5</v>
      </c>
      <c r="G61" s="46">
        <v>0</v>
      </c>
      <c r="H61" s="74">
        <v>0</v>
      </c>
      <c r="I61" s="51">
        <f t="shared" si="1"/>
        <v>233.5</v>
      </c>
    </row>
    <row r="62" spans="1:9" ht="21" customHeight="1">
      <c r="A62" s="60"/>
      <c r="B62" s="26" t="s">
        <v>137</v>
      </c>
      <c r="C62" s="93"/>
      <c r="D62" s="12">
        <v>60007843356</v>
      </c>
      <c r="E62" s="30" t="s">
        <v>138</v>
      </c>
      <c r="F62" s="46">
        <f>193/2</f>
        <v>96.5</v>
      </c>
      <c r="G62" s="46">
        <v>0</v>
      </c>
      <c r="H62" s="74">
        <v>0</v>
      </c>
      <c r="I62" s="51">
        <f t="shared" si="1"/>
        <v>96.5</v>
      </c>
    </row>
    <row r="63" spans="1:9" ht="21" customHeight="1">
      <c r="A63" s="60"/>
      <c r="B63" s="26" t="s">
        <v>139</v>
      </c>
      <c r="C63" s="93"/>
      <c r="D63" s="12">
        <v>60007847274</v>
      </c>
      <c r="E63" s="30" t="s">
        <v>140</v>
      </c>
      <c r="F63" s="46">
        <f>349/2</f>
        <v>174.5</v>
      </c>
      <c r="G63" s="46">
        <v>0</v>
      </c>
      <c r="H63" s="74">
        <v>0</v>
      </c>
      <c r="I63" s="51">
        <f t="shared" si="1"/>
        <v>174.5</v>
      </c>
    </row>
    <row r="64" spans="1:9" ht="21" customHeight="1">
      <c r="A64" s="60"/>
      <c r="B64" s="26" t="s">
        <v>141</v>
      </c>
      <c r="C64" s="93"/>
      <c r="D64" s="12">
        <v>60007847482</v>
      </c>
      <c r="E64" s="30" t="s">
        <v>142</v>
      </c>
      <c r="F64" s="46"/>
      <c r="G64" s="46"/>
      <c r="H64" s="74"/>
      <c r="I64" s="51">
        <f t="shared" si="1"/>
        <v>0</v>
      </c>
    </row>
    <row r="65" spans="1:9" ht="21" customHeight="1">
      <c r="A65" s="60"/>
      <c r="B65" s="26" t="s">
        <v>143</v>
      </c>
      <c r="C65" s="26" t="s">
        <v>323</v>
      </c>
      <c r="D65" s="12">
        <v>60007858040</v>
      </c>
      <c r="E65" s="78" t="s">
        <v>144</v>
      </c>
      <c r="F65" s="46"/>
      <c r="G65" s="46"/>
      <c r="H65" s="74"/>
      <c r="I65" s="51">
        <f t="shared" si="1"/>
        <v>0</v>
      </c>
    </row>
    <row r="66" spans="1:9" ht="21" customHeight="1">
      <c r="A66" s="60"/>
      <c r="B66" s="43" t="s">
        <v>145</v>
      </c>
      <c r="C66" s="43" t="s">
        <v>358</v>
      </c>
      <c r="D66" s="44">
        <v>60007889355</v>
      </c>
      <c r="E66" s="37" t="s">
        <v>146</v>
      </c>
      <c r="F66" s="46">
        <f>207/2</f>
        <v>103.5</v>
      </c>
      <c r="G66" s="46">
        <v>0</v>
      </c>
      <c r="H66" s="74">
        <v>0</v>
      </c>
      <c r="I66" s="51">
        <f t="shared" si="1"/>
        <v>103.5</v>
      </c>
    </row>
    <row r="67" spans="1:9" ht="21" customHeight="1">
      <c r="A67" s="60"/>
      <c r="B67" s="41" t="s">
        <v>147</v>
      </c>
      <c r="C67" s="41" t="s">
        <v>311</v>
      </c>
      <c r="D67" s="40">
        <v>60007899611</v>
      </c>
      <c r="E67" s="42" t="s">
        <v>148</v>
      </c>
      <c r="F67" s="47"/>
      <c r="G67" s="47"/>
      <c r="H67" s="75"/>
      <c r="I67" s="51">
        <f t="shared" si="1"/>
        <v>0</v>
      </c>
    </row>
    <row r="68" spans="1:9" s="67" customFormat="1" ht="21" customHeight="1">
      <c r="A68" s="60"/>
      <c r="B68" s="26" t="s">
        <v>149</v>
      </c>
      <c r="C68" s="93"/>
      <c r="D68" s="12">
        <v>60008073286</v>
      </c>
      <c r="E68" s="30" t="s">
        <v>150</v>
      </c>
      <c r="F68" s="46">
        <f>73/2</f>
        <v>36.5</v>
      </c>
      <c r="G68" s="46">
        <v>0</v>
      </c>
      <c r="H68" s="74">
        <v>0</v>
      </c>
      <c r="I68" s="51">
        <f t="shared" si="1"/>
        <v>36.5</v>
      </c>
    </row>
    <row r="69" spans="1:9" s="67" customFormat="1" ht="21" customHeight="1">
      <c r="A69" s="60"/>
      <c r="B69" s="26" t="s">
        <v>151</v>
      </c>
      <c r="C69" s="26"/>
      <c r="D69" s="12">
        <v>60008101006</v>
      </c>
      <c r="E69" s="30" t="s">
        <v>152</v>
      </c>
      <c r="F69" s="46"/>
      <c r="G69" s="46"/>
      <c r="H69" s="74"/>
      <c r="I69" s="51">
        <f t="shared" si="1"/>
        <v>0</v>
      </c>
    </row>
    <row r="70" spans="1:9" s="68" customFormat="1" ht="21" customHeight="1">
      <c r="A70" s="60"/>
      <c r="B70" s="26" t="s">
        <v>153</v>
      </c>
      <c r="C70" s="26" t="s">
        <v>359</v>
      </c>
      <c r="D70" s="12">
        <v>60008115357</v>
      </c>
      <c r="E70" s="30" t="s">
        <v>154</v>
      </c>
      <c r="F70" s="46"/>
      <c r="G70" s="46"/>
      <c r="H70" s="74"/>
      <c r="I70" s="51">
        <f t="shared" si="1"/>
        <v>0</v>
      </c>
    </row>
    <row r="71" spans="1:9" ht="21" customHeight="1">
      <c r="A71" s="60"/>
      <c r="B71" s="26" t="s">
        <v>155</v>
      </c>
      <c r="C71" s="26" t="s">
        <v>312</v>
      </c>
      <c r="D71" s="12">
        <v>60008450632</v>
      </c>
      <c r="E71" s="30" t="s">
        <v>156</v>
      </c>
      <c r="F71" s="46"/>
      <c r="G71" s="46"/>
      <c r="H71" s="74"/>
      <c r="I71" s="51">
        <f t="shared" si="1"/>
        <v>0</v>
      </c>
    </row>
    <row r="72" spans="1:9" ht="21" customHeight="1">
      <c r="A72" s="60"/>
      <c r="B72" s="26" t="s">
        <v>157</v>
      </c>
      <c r="C72" s="26" t="s">
        <v>360</v>
      </c>
      <c r="D72" s="12">
        <v>60008427213</v>
      </c>
      <c r="E72" s="30" t="s">
        <v>158</v>
      </c>
      <c r="F72" s="46">
        <f>160/2</f>
        <v>80</v>
      </c>
      <c r="G72" s="46">
        <v>0</v>
      </c>
      <c r="H72" s="74">
        <v>0</v>
      </c>
      <c r="I72" s="51">
        <f t="shared" si="1"/>
        <v>80</v>
      </c>
    </row>
    <row r="73" spans="1:9" ht="21" customHeight="1">
      <c r="A73" s="60"/>
      <c r="B73" s="26" t="s">
        <v>159</v>
      </c>
      <c r="C73" s="26" t="s">
        <v>361</v>
      </c>
      <c r="D73" s="12">
        <v>60008475541</v>
      </c>
      <c r="E73" s="30" t="s">
        <v>160</v>
      </c>
      <c r="F73" s="46">
        <f>218/2</f>
        <v>109</v>
      </c>
      <c r="G73" s="46">
        <v>0</v>
      </c>
      <c r="H73" s="74">
        <v>0</v>
      </c>
      <c r="I73" s="51">
        <f t="shared" si="1"/>
        <v>109</v>
      </c>
    </row>
    <row r="74" spans="1:9" ht="21" customHeight="1">
      <c r="A74" s="60"/>
      <c r="B74" s="26" t="s">
        <v>161</v>
      </c>
      <c r="C74" s="93"/>
      <c r="D74" s="12">
        <v>60008368817</v>
      </c>
      <c r="E74" s="30" t="s">
        <v>162</v>
      </c>
      <c r="F74" s="46"/>
      <c r="G74" s="46"/>
      <c r="H74" s="74"/>
      <c r="I74" s="51">
        <f t="shared" si="1"/>
        <v>0</v>
      </c>
    </row>
    <row r="75" spans="1:9" ht="21" customHeight="1">
      <c r="A75" s="60"/>
      <c r="B75" s="26" t="s">
        <v>163</v>
      </c>
      <c r="C75" s="26" t="s">
        <v>372</v>
      </c>
      <c r="D75" s="12">
        <v>60091069643</v>
      </c>
      <c r="E75" s="30" t="s">
        <v>164</v>
      </c>
      <c r="F75" s="46"/>
      <c r="G75" s="46"/>
      <c r="H75" s="74"/>
      <c r="I75" s="51">
        <f t="shared" si="1"/>
        <v>0</v>
      </c>
    </row>
    <row r="76" spans="1:9" ht="21" customHeight="1">
      <c r="A76" s="60"/>
      <c r="B76" s="26" t="s">
        <v>165</v>
      </c>
      <c r="C76" s="26" t="s">
        <v>363</v>
      </c>
      <c r="D76" s="12">
        <v>60089709450</v>
      </c>
      <c r="E76" s="30" t="s">
        <v>166</v>
      </c>
      <c r="F76" s="46">
        <f>199/2</f>
        <v>99.5</v>
      </c>
      <c r="G76" s="46">
        <v>0</v>
      </c>
      <c r="H76" s="74">
        <v>0</v>
      </c>
      <c r="I76" s="51">
        <f t="shared" si="1"/>
        <v>99.5</v>
      </c>
    </row>
    <row r="77" spans="1:9" ht="21" customHeight="1">
      <c r="A77" s="60"/>
      <c r="B77" s="26" t="s">
        <v>167</v>
      </c>
      <c r="C77" s="26" t="s">
        <v>362</v>
      </c>
      <c r="D77" s="12">
        <v>60089553056</v>
      </c>
      <c r="E77" s="30" t="s">
        <v>168</v>
      </c>
      <c r="F77" s="46">
        <f>4007/2</f>
        <v>2003.5</v>
      </c>
      <c r="G77" s="46">
        <v>0</v>
      </c>
      <c r="H77" s="74">
        <v>0</v>
      </c>
      <c r="I77" s="51">
        <f t="shared" si="1"/>
        <v>2003.5</v>
      </c>
    </row>
    <row r="78" spans="1:9" ht="21" customHeight="1">
      <c r="A78" s="60"/>
      <c r="B78" s="26" t="s">
        <v>169</v>
      </c>
      <c r="C78" s="26" t="s">
        <v>364</v>
      </c>
      <c r="D78" s="17">
        <v>60090692774</v>
      </c>
      <c r="E78" s="31" t="s">
        <v>170</v>
      </c>
      <c r="F78" s="46"/>
      <c r="G78" s="46"/>
      <c r="H78" s="74"/>
      <c r="I78" s="51">
        <f t="shared" si="1"/>
        <v>0</v>
      </c>
    </row>
    <row r="79" spans="1:9" ht="21" customHeight="1">
      <c r="A79" s="60"/>
      <c r="B79" s="26" t="s">
        <v>171</v>
      </c>
      <c r="C79" s="93"/>
      <c r="D79" s="12">
        <v>60006579681</v>
      </c>
      <c r="E79" s="30" t="s">
        <v>172</v>
      </c>
      <c r="F79" s="46"/>
      <c r="G79" s="46"/>
      <c r="H79" s="74"/>
      <c r="I79" s="51">
        <f t="shared" si="1"/>
        <v>0</v>
      </c>
    </row>
    <row r="80" spans="1:9" ht="21" customHeight="1">
      <c r="A80" s="60"/>
      <c r="B80" s="26" t="s">
        <v>173</v>
      </c>
      <c r="C80" s="26" t="s">
        <v>333</v>
      </c>
      <c r="D80" s="12">
        <v>60006586696</v>
      </c>
      <c r="E80" s="30" t="s">
        <v>174</v>
      </c>
      <c r="F80" s="46">
        <f>1198/2</f>
        <v>599</v>
      </c>
      <c r="G80" s="46">
        <v>0</v>
      </c>
      <c r="H80" s="74">
        <v>0</v>
      </c>
      <c r="I80" s="51">
        <f t="shared" si="1"/>
        <v>599</v>
      </c>
    </row>
    <row r="81" spans="1:9" s="68" customFormat="1" ht="21" customHeight="1">
      <c r="A81" s="60"/>
      <c r="B81" s="26" t="s">
        <v>175</v>
      </c>
      <c r="C81" s="93"/>
      <c r="D81" s="17">
        <v>60006586704</v>
      </c>
      <c r="E81" s="31" t="s">
        <v>176</v>
      </c>
      <c r="F81" s="46">
        <f>139/2</f>
        <v>69.5</v>
      </c>
      <c r="G81" s="46">
        <v>0</v>
      </c>
      <c r="H81" s="74">
        <v>0</v>
      </c>
      <c r="I81" s="51">
        <f t="shared" si="1"/>
        <v>69.5</v>
      </c>
    </row>
    <row r="82" spans="1:9" ht="21" customHeight="1">
      <c r="A82" s="60"/>
      <c r="B82" s="26" t="s">
        <v>177</v>
      </c>
      <c r="C82" s="26" t="s">
        <v>370</v>
      </c>
      <c r="D82" s="12">
        <v>60006587652</v>
      </c>
      <c r="E82" s="33" t="s">
        <v>178</v>
      </c>
      <c r="F82" s="47">
        <f>916/2</f>
        <v>458</v>
      </c>
      <c r="G82" s="47">
        <v>0</v>
      </c>
      <c r="H82" s="75">
        <v>0</v>
      </c>
      <c r="I82" s="51">
        <f t="shared" si="1"/>
        <v>458</v>
      </c>
    </row>
    <row r="83" spans="1:9" ht="21" customHeight="1">
      <c r="A83" s="60"/>
      <c r="B83" s="26" t="s">
        <v>179</v>
      </c>
      <c r="C83" s="26" t="s">
        <v>334</v>
      </c>
      <c r="D83" s="12">
        <v>60006587671</v>
      </c>
      <c r="E83" s="30" t="s">
        <v>180</v>
      </c>
      <c r="F83" s="49">
        <f>766/2</f>
        <v>383</v>
      </c>
      <c r="G83" s="49">
        <v>0</v>
      </c>
      <c r="H83" s="76">
        <v>0</v>
      </c>
      <c r="I83" s="51">
        <f t="shared" si="1"/>
        <v>383</v>
      </c>
    </row>
    <row r="84" spans="1:9" ht="21" customHeight="1">
      <c r="A84" s="60"/>
      <c r="B84" s="26" t="s">
        <v>181</v>
      </c>
      <c r="C84" s="26" t="s">
        <v>335</v>
      </c>
      <c r="D84" s="12">
        <v>60006593566</v>
      </c>
      <c r="E84" s="30" t="s">
        <v>182</v>
      </c>
      <c r="F84" s="46">
        <f>650/2</f>
        <v>325</v>
      </c>
      <c r="G84" s="46">
        <v>0</v>
      </c>
      <c r="H84" s="74">
        <v>0</v>
      </c>
      <c r="I84" s="51">
        <f t="shared" si="1"/>
        <v>325</v>
      </c>
    </row>
    <row r="85" spans="1:9" ht="21" customHeight="1">
      <c r="A85" s="60"/>
      <c r="B85" s="26" t="s">
        <v>183</v>
      </c>
      <c r="C85" s="26" t="s">
        <v>336</v>
      </c>
      <c r="D85" s="12">
        <v>60006601563</v>
      </c>
      <c r="E85" s="30" t="s">
        <v>184</v>
      </c>
      <c r="F85" s="46">
        <f>930/2</f>
        <v>465</v>
      </c>
      <c r="G85" s="46">
        <v>0</v>
      </c>
      <c r="H85" s="74">
        <v>0</v>
      </c>
      <c r="I85" s="51">
        <f t="shared" si="1"/>
        <v>465</v>
      </c>
    </row>
    <row r="86" spans="1:9" s="67" customFormat="1" ht="21" customHeight="1">
      <c r="A86" s="60"/>
      <c r="B86" s="26" t="s">
        <v>185</v>
      </c>
      <c r="C86" s="26" t="s">
        <v>310</v>
      </c>
      <c r="D86" s="12">
        <v>60006630551</v>
      </c>
      <c r="E86" s="30" t="s">
        <v>186</v>
      </c>
      <c r="F86" s="46">
        <f>1224/2</f>
        <v>612</v>
      </c>
      <c r="G86" s="46">
        <v>0</v>
      </c>
      <c r="H86" s="74">
        <v>0</v>
      </c>
      <c r="I86" s="51">
        <f t="shared" si="1"/>
        <v>612</v>
      </c>
    </row>
    <row r="87" spans="1:9" ht="21" customHeight="1">
      <c r="A87" s="60"/>
      <c r="B87" s="26" t="s">
        <v>187</v>
      </c>
      <c r="C87" s="26" t="s">
        <v>287</v>
      </c>
      <c r="D87" s="12">
        <v>60006631759</v>
      </c>
      <c r="E87" s="30" t="s">
        <v>188</v>
      </c>
      <c r="F87" s="46">
        <f>405/2</f>
        <v>202.5</v>
      </c>
      <c r="G87" s="46">
        <v>0</v>
      </c>
      <c r="H87" s="74">
        <v>0</v>
      </c>
      <c r="I87" s="51">
        <f t="shared" si="1"/>
        <v>202.5</v>
      </c>
    </row>
    <row r="88" spans="1:9" ht="21" customHeight="1">
      <c r="A88" s="60"/>
      <c r="B88" s="26" t="s">
        <v>189</v>
      </c>
      <c r="C88" s="26" t="s">
        <v>339</v>
      </c>
      <c r="D88" s="12">
        <v>60006631974</v>
      </c>
      <c r="E88" s="30" t="s">
        <v>190</v>
      </c>
      <c r="F88" s="46">
        <f>7025/3</f>
        <v>2341.6666666666665</v>
      </c>
      <c r="G88" s="46">
        <v>0</v>
      </c>
      <c r="H88" s="74">
        <v>0</v>
      </c>
      <c r="I88" s="51">
        <f t="shared" si="1"/>
        <v>2341.6666666666665</v>
      </c>
    </row>
    <row r="89" spans="1:9" ht="21" customHeight="1">
      <c r="A89" s="60"/>
      <c r="B89" s="26" t="s">
        <v>191</v>
      </c>
      <c r="C89" s="26" t="s">
        <v>356</v>
      </c>
      <c r="D89" s="12">
        <v>60007843337</v>
      </c>
      <c r="E89" s="30" t="s">
        <v>192</v>
      </c>
      <c r="F89" s="46">
        <f>913/2</f>
        <v>456.5</v>
      </c>
      <c r="G89" s="46">
        <v>0</v>
      </c>
      <c r="H89" s="74">
        <v>0</v>
      </c>
      <c r="I89" s="51">
        <f t="shared" si="1"/>
        <v>456.5</v>
      </c>
    </row>
    <row r="90" spans="1:9" ht="21" customHeight="1">
      <c r="A90" s="60"/>
      <c r="B90" s="26" t="s">
        <v>193</v>
      </c>
      <c r="C90" s="26" t="s">
        <v>305</v>
      </c>
      <c r="D90" s="12">
        <v>60006631992</v>
      </c>
      <c r="E90" s="30" t="s">
        <v>194</v>
      </c>
      <c r="F90" s="46"/>
      <c r="G90" s="46"/>
      <c r="H90" s="74"/>
      <c r="I90" s="51">
        <f t="shared" si="1"/>
        <v>0</v>
      </c>
    </row>
    <row r="91" spans="1:9" ht="21" customHeight="1">
      <c r="A91" s="60"/>
      <c r="B91" s="26" t="s">
        <v>195</v>
      </c>
      <c r="C91" s="26" t="s">
        <v>341</v>
      </c>
      <c r="D91" s="12">
        <v>60006632013</v>
      </c>
      <c r="E91" s="30" t="s">
        <v>196</v>
      </c>
      <c r="F91" s="46">
        <f>222/2</f>
        <v>111</v>
      </c>
      <c r="G91" s="46">
        <v>0</v>
      </c>
      <c r="H91" s="74">
        <v>0</v>
      </c>
      <c r="I91" s="51">
        <f t="shared" si="1"/>
        <v>111</v>
      </c>
    </row>
    <row r="92" spans="1:9" ht="21" customHeight="1">
      <c r="A92" s="60"/>
      <c r="B92" s="26" t="s">
        <v>197</v>
      </c>
      <c r="C92" s="26" t="s">
        <v>288</v>
      </c>
      <c r="D92" s="12">
        <v>60006632028</v>
      </c>
      <c r="E92" s="30" t="s">
        <v>198</v>
      </c>
      <c r="F92" s="46">
        <f>2351/2</f>
        <v>1175.5</v>
      </c>
      <c r="G92" s="46">
        <v>0</v>
      </c>
      <c r="H92" s="74">
        <v>0</v>
      </c>
      <c r="I92" s="51">
        <f t="shared" si="1"/>
        <v>1175.5</v>
      </c>
    </row>
    <row r="93" spans="1:9" ht="21" customHeight="1">
      <c r="A93" s="60"/>
      <c r="B93" s="26" t="s">
        <v>199</v>
      </c>
      <c r="C93" s="26" t="s">
        <v>342</v>
      </c>
      <c r="D93" s="12">
        <v>60006632034</v>
      </c>
      <c r="E93" s="30" t="s">
        <v>200</v>
      </c>
      <c r="F93" s="46"/>
      <c r="G93" s="46"/>
      <c r="H93" s="74"/>
      <c r="I93" s="51">
        <f t="shared" si="1"/>
        <v>0</v>
      </c>
    </row>
    <row r="94" spans="1:9" ht="21" customHeight="1">
      <c r="A94" s="60"/>
      <c r="B94" s="26" t="s">
        <v>201</v>
      </c>
      <c r="C94" s="26" t="s">
        <v>343</v>
      </c>
      <c r="D94" s="12">
        <v>60006637176</v>
      </c>
      <c r="E94" s="30" t="s">
        <v>202</v>
      </c>
      <c r="F94" s="46">
        <f>413/2</f>
        <v>206.5</v>
      </c>
      <c r="G94" s="46">
        <v>0</v>
      </c>
      <c r="H94" s="74">
        <v>0</v>
      </c>
      <c r="I94" s="51">
        <f t="shared" si="1"/>
        <v>206.5</v>
      </c>
    </row>
    <row r="95" spans="1:9" ht="21" customHeight="1">
      <c r="A95" s="60"/>
      <c r="B95" s="26" t="s">
        <v>203</v>
      </c>
      <c r="C95" s="93"/>
      <c r="D95" s="12">
        <v>60006637235</v>
      </c>
      <c r="E95" s="30" t="s">
        <v>204</v>
      </c>
      <c r="F95" s="46">
        <f>144/2</f>
        <v>72</v>
      </c>
      <c r="G95" s="46">
        <v>0</v>
      </c>
      <c r="H95" s="74">
        <v>0</v>
      </c>
      <c r="I95" s="51">
        <f t="shared" si="1"/>
        <v>72</v>
      </c>
    </row>
    <row r="96" spans="1:9" ht="21" customHeight="1">
      <c r="A96" s="60"/>
      <c r="B96" s="26" t="s">
        <v>205</v>
      </c>
      <c r="C96" s="26" t="s">
        <v>306</v>
      </c>
      <c r="D96" s="12">
        <v>60006637714</v>
      </c>
      <c r="E96" s="30" t="s">
        <v>206</v>
      </c>
      <c r="F96" s="46">
        <f>349/2</f>
        <v>174.5</v>
      </c>
      <c r="G96" s="46">
        <v>0</v>
      </c>
      <c r="H96" s="74">
        <v>0</v>
      </c>
      <c r="I96" s="51">
        <f t="shared" si="1"/>
        <v>174.5</v>
      </c>
    </row>
    <row r="97" spans="1:9" ht="21" customHeight="1">
      <c r="A97" s="60"/>
      <c r="B97" s="26" t="s">
        <v>207</v>
      </c>
      <c r="C97" s="93"/>
      <c r="D97" s="12">
        <v>60006642108</v>
      </c>
      <c r="E97" s="30" t="s">
        <v>208</v>
      </c>
      <c r="F97" s="46">
        <f>144/2</f>
        <v>72</v>
      </c>
      <c r="G97" s="46">
        <v>0</v>
      </c>
      <c r="H97" s="74">
        <v>0</v>
      </c>
      <c r="I97" s="51">
        <f t="shared" si="1"/>
        <v>72</v>
      </c>
    </row>
    <row r="98" spans="1:9" ht="21" customHeight="1">
      <c r="A98" s="60"/>
      <c r="B98" s="26" t="s">
        <v>209</v>
      </c>
      <c r="C98" s="93"/>
      <c r="D98" s="12">
        <v>60006642114</v>
      </c>
      <c r="E98" s="30" t="s">
        <v>210</v>
      </c>
      <c r="F98" s="46">
        <f>144/2</f>
        <v>72</v>
      </c>
      <c r="G98" s="46">
        <v>0</v>
      </c>
      <c r="H98" s="74">
        <v>0</v>
      </c>
      <c r="I98" s="51">
        <f t="shared" si="1"/>
        <v>72</v>
      </c>
    </row>
    <row r="99" spans="1:9" ht="21" customHeight="1">
      <c r="A99" s="60"/>
      <c r="B99" s="26" t="s">
        <v>211</v>
      </c>
      <c r="C99" s="26" t="s">
        <v>290</v>
      </c>
      <c r="D99" s="12">
        <v>60006644426</v>
      </c>
      <c r="E99" s="30" t="s">
        <v>212</v>
      </c>
      <c r="F99" s="46"/>
      <c r="G99" s="46"/>
      <c r="H99" s="74"/>
      <c r="I99" s="51">
        <f t="shared" si="1"/>
        <v>0</v>
      </c>
    </row>
    <row r="100" spans="1:9" ht="21" customHeight="1">
      <c r="A100" s="60"/>
      <c r="B100" s="26" t="s">
        <v>213</v>
      </c>
      <c r="C100" s="93"/>
      <c r="D100" s="12">
        <v>60006644431</v>
      </c>
      <c r="E100" s="30" t="s">
        <v>214</v>
      </c>
      <c r="F100" s="46"/>
      <c r="G100" s="46"/>
      <c r="H100" s="74"/>
      <c r="I100" s="51">
        <f t="shared" si="1"/>
        <v>0</v>
      </c>
    </row>
    <row r="101" spans="1:9" ht="21" customHeight="1">
      <c r="A101" s="60"/>
      <c r="B101" s="26" t="s">
        <v>215</v>
      </c>
      <c r="C101" s="26" t="s">
        <v>344</v>
      </c>
      <c r="D101" s="12">
        <v>60006644654</v>
      </c>
      <c r="E101" s="30" t="s">
        <v>216</v>
      </c>
      <c r="F101" s="47">
        <f>224/2</f>
        <v>112</v>
      </c>
      <c r="G101" s="47">
        <v>0</v>
      </c>
      <c r="H101" s="75">
        <v>0</v>
      </c>
      <c r="I101" s="92">
        <f t="shared" si="1"/>
        <v>112</v>
      </c>
    </row>
    <row r="102" spans="1:9" ht="21" customHeight="1">
      <c r="A102" s="60"/>
      <c r="B102" s="26" t="s">
        <v>217</v>
      </c>
      <c r="C102" s="93"/>
      <c r="D102" s="12">
        <v>60007182237</v>
      </c>
      <c r="E102" s="30" t="s">
        <v>218</v>
      </c>
      <c r="F102" s="46"/>
      <c r="G102" s="46"/>
      <c r="H102" s="74"/>
      <c r="I102" s="51">
        <f t="shared" si="1"/>
        <v>0</v>
      </c>
    </row>
    <row r="103" spans="1:9" ht="21" customHeight="1">
      <c r="A103" s="60"/>
      <c r="B103" s="26" t="s">
        <v>219</v>
      </c>
      <c r="C103" s="26" t="s">
        <v>354</v>
      </c>
      <c r="D103" s="12">
        <v>60007843211</v>
      </c>
      <c r="E103" s="30" t="s">
        <v>220</v>
      </c>
      <c r="F103" s="46"/>
      <c r="G103" s="46"/>
      <c r="H103" s="74"/>
      <c r="I103" s="51">
        <f t="shared" si="1"/>
        <v>0</v>
      </c>
    </row>
    <row r="104" spans="1:9" ht="21" customHeight="1">
      <c r="A104" s="60"/>
      <c r="B104" s="26" t="s">
        <v>221</v>
      </c>
      <c r="C104" s="26" t="s">
        <v>355</v>
      </c>
      <c r="D104" s="12">
        <v>60007843225</v>
      </c>
      <c r="E104" s="30" t="s">
        <v>222</v>
      </c>
      <c r="F104" s="46"/>
      <c r="G104" s="46"/>
      <c r="H104" s="74"/>
      <c r="I104" s="51">
        <f t="shared" si="1"/>
        <v>0</v>
      </c>
    </row>
    <row r="105" spans="1:9" ht="21" customHeight="1">
      <c r="A105" s="60"/>
      <c r="B105" s="26" t="s">
        <v>223</v>
      </c>
      <c r="C105" s="26" t="s">
        <v>347</v>
      </c>
      <c r="D105" s="12">
        <v>60007211343</v>
      </c>
      <c r="E105" s="30" t="s">
        <v>224</v>
      </c>
      <c r="F105" s="46">
        <v>0</v>
      </c>
      <c r="G105" s="46">
        <v>0</v>
      </c>
      <c r="H105" s="74">
        <v>0</v>
      </c>
      <c r="I105" s="51">
        <f t="shared" si="1"/>
        <v>0</v>
      </c>
    </row>
    <row r="106" spans="1:9" ht="21" customHeight="1">
      <c r="A106" s="60"/>
      <c r="B106" s="26" t="s">
        <v>225</v>
      </c>
      <c r="C106" s="26" t="s">
        <v>346</v>
      </c>
      <c r="D106" s="12">
        <v>60007211339</v>
      </c>
      <c r="E106" s="30" t="s">
        <v>226</v>
      </c>
      <c r="F106" s="46">
        <f>256/2</f>
        <v>128</v>
      </c>
      <c r="G106" s="46">
        <v>0</v>
      </c>
      <c r="H106" s="74">
        <v>0</v>
      </c>
      <c r="I106" s="51">
        <f t="shared" si="1"/>
        <v>128</v>
      </c>
    </row>
    <row r="107" spans="1:9" ht="21" customHeight="1">
      <c r="A107" s="60"/>
      <c r="B107" s="26" t="s">
        <v>227</v>
      </c>
      <c r="C107" s="26" t="s">
        <v>291</v>
      </c>
      <c r="D107" s="12">
        <v>60007239731</v>
      </c>
      <c r="E107" s="30" t="s">
        <v>228</v>
      </c>
      <c r="F107" s="46">
        <f>1323/2</f>
        <v>661.5</v>
      </c>
      <c r="G107" s="46">
        <v>0</v>
      </c>
      <c r="H107" s="74">
        <v>0</v>
      </c>
      <c r="I107" s="51">
        <f t="shared" si="1"/>
        <v>661.5</v>
      </c>
    </row>
    <row r="108" spans="1:9" ht="21" customHeight="1">
      <c r="A108" s="60"/>
      <c r="B108" s="26" t="s">
        <v>229</v>
      </c>
      <c r="C108" s="26" t="s">
        <v>348</v>
      </c>
      <c r="D108" s="12">
        <v>60007483419</v>
      </c>
      <c r="E108" s="30" t="s">
        <v>230</v>
      </c>
      <c r="F108" s="46">
        <f>483/2</f>
        <v>241.5</v>
      </c>
      <c r="G108" s="46">
        <v>0</v>
      </c>
      <c r="H108" s="74">
        <v>0</v>
      </c>
      <c r="I108" s="51">
        <f t="shared" si="1"/>
        <v>241.5</v>
      </c>
    </row>
    <row r="109" spans="1:9" ht="21" customHeight="1">
      <c r="A109" s="60"/>
      <c r="B109" s="26" t="s">
        <v>231</v>
      </c>
      <c r="C109" s="26" t="s">
        <v>301</v>
      </c>
      <c r="D109" s="12">
        <v>60006579638</v>
      </c>
      <c r="E109" s="30" t="s">
        <v>232</v>
      </c>
      <c r="F109" s="46"/>
      <c r="G109" s="46"/>
      <c r="H109" s="74"/>
      <c r="I109" s="51">
        <f t="shared" si="1"/>
        <v>0</v>
      </c>
    </row>
    <row r="110" spans="1:9" ht="21" customHeight="1">
      <c r="A110" s="60"/>
      <c r="B110" s="26" t="s">
        <v>233</v>
      </c>
      <c r="C110" s="26" t="s">
        <v>349</v>
      </c>
      <c r="D110" s="12">
        <v>60006579657</v>
      </c>
      <c r="E110" s="30" t="s">
        <v>234</v>
      </c>
      <c r="F110" s="46"/>
      <c r="G110" s="46"/>
      <c r="H110" s="74"/>
      <c r="I110" s="51">
        <f t="shared" si="1"/>
        <v>0</v>
      </c>
    </row>
    <row r="111" spans="1:9" ht="21" customHeight="1">
      <c r="A111" s="60"/>
      <c r="B111" s="26" t="s">
        <v>235</v>
      </c>
      <c r="C111" s="93"/>
      <c r="D111" s="12">
        <v>60006579676</v>
      </c>
      <c r="E111" s="30" t="s">
        <v>236</v>
      </c>
      <c r="F111" s="46"/>
      <c r="G111" s="46"/>
      <c r="H111" s="74"/>
      <c r="I111" s="51">
        <f t="shared" si="1"/>
        <v>0</v>
      </c>
    </row>
    <row r="112" spans="1:9" ht="21" customHeight="1">
      <c r="A112" s="60"/>
      <c r="B112" s="26" t="s">
        <v>237</v>
      </c>
      <c r="C112" s="26" t="s">
        <v>351</v>
      </c>
      <c r="D112" s="12">
        <v>60007631681</v>
      </c>
      <c r="E112" s="30" t="s">
        <v>238</v>
      </c>
      <c r="F112" s="46"/>
      <c r="G112" s="46"/>
      <c r="H112" s="74"/>
      <c r="I112" s="51">
        <f t="shared" si="1"/>
        <v>0</v>
      </c>
    </row>
    <row r="113" spans="1:9" ht="21" customHeight="1">
      <c r="A113" s="60"/>
      <c r="B113" s="26" t="s">
        <v>239</v>
      </c>
      <c r="C113" s="26" t="s">
        <v>357</v>
      </c>
      <c r="D113" s="12">
        <v>60007848373</v>
      </c>
      <c r="E113" s="30" t="s">
        <v>240</v>
      </c>
      <c r="F113" s="46">
        <f>2049/2</f>
        <v>1024.5</v>
      </c>
      <c r="G113" s="46">
        <v>0</v>
      </c>
      <c r="H113" s="74">
        <v>0</v>
      </c>
      <c r="I113" s="51">
        <f t="shared" si="1"/>
        <v>1024.5</v>
      </c>
    </row>
    <row r="114" spans="1:9" ht="21" customHeight="1">
      <c r="A114" s="60"/>
      <c r="B114" s="26" t="s">
        <v>241</v>
      </c>
      <c r="C114" s="26" t="s">
        <v>338</v>
      </c>
      <c r="D114" s="12">
        <v>60006631880</v>
      </c>
      <c r="E114" s="30" t="s">
        <v>242</v>
      </c>
      <c r="F114" s="46">
        <f>120/2</f>
        <v>60</v>
      </c>
      <c r="G114" s="46">
        <v>0</v>
      </c>
      <c r="H114" s="74">
        <v>0</v>
      </c>
      <c r="I114" s="51">
        <f t="shared" si="1"/>
        <v>60</v>
      </c>
    </row>
    <row r="115" spans="1:9" ht="21" customHeight="1">
      <c r="A115" s="64"/>
      <c r="B115" s="26" t="s">
        <v>243</v>
      </c>
      <c r="C115" s="26" t="s">
        <v>320</v>
      </c>
      <c r="D115" s="12">
        <v>60006631920</v>
      </c>
      <c r="E115" s="30" t="s">
        <v>244</v>
      </c>
      <c r="F115" s="49">
        <f>404/2</f>
        <v>202</v>
      </c>
      <c r="G115" s="49">
        <v>0</v>
      </c>
      <c r="H115" s="76">
        <v>0</v>
      </c>
      <c r="I115" s="51">
        <f t="shared" si="1"/>
        <v>202</v>
      </c>
    </row>
    <row r="116" spans="1:9" ht="21" customHeight="1">
      <c r="A116" s="64"/>
      <c r="B116" s="26" t="s">
        <v>245</v>
      </c>
      <c r="C116" s="26" t="s">
        <v>340</v>
      </c>
      <c r="D116" s="12">
        <v>60006631987</v>
      </c>
      <c r="E116" s="30" t="s">
        <v>246</v>
      </c>
      <c r="F116" s="49">
        <f>3638/2</f>
        <v>1819</v>
      </c>
      <c r="G116" s="49">
        <v>0</v>
      </c>
      <c r="H116" s="76">
        <v>0</v>
      </c>
      <c r="I116" s="51">
        <f t="shared" si="1"/>
        <v>1819</v>
      </c>
    </row>
    <row r="117" spans="1:9" ht="21" customHeight="1">
      <c r="A117" s="64"/>
      <c r="B117" s="26" t="s">
        <v>247</v>
      </c>
      <c r="C117" s="26" t="s">
        <v>373</v>
      </c>
      <c r="D117" s="12">
        <v>60006632009</v>
      </c>
      <c r="E117" s="30" t="s">
        <v>248</v>
      </c>
      <c r="F117" s="49">
        <f>3654/2</f>
        <v>1827</v>
      </c>
      <c r="G117" s="49">
        <v>0</v>
      </c>
      <c r="H117" s="76">
        <v>0</v>
      </c>
      <c r="I117" s="51">
        <f t="shared" si="1"/>
        <v>1827</v>
      </c>
    </row>
    <row r="118" spans="1:9" ht="21" customHeight="1">
      <c r="A118" s="64"/>
      <c r="B118" s="26" t="s">
        <v>249</v>
      </c>
      <c r="C118" s="26" t="s">
        <v>350</v>
      </c>
      <c r="D118" s="12">
        <v>60007611240</v>
      </c>
      <c r="E118" s="30" t="s">
        <v>250</v>
      </c>
      <c r="F118" s="49">
        <f>3429/2</f>
        <v>1714.5</v>
      </c>
      <c r="G118" s="49">
        <v>0</v>
      </c>
      <c r="H118" s="76">
        <v>0</v>
      </c>
      <c r="I118" s="51">
        <f t="shared" si="1"/>
        <v>1714.5</v>
      </c>
    </row>
    <row r="119" spans="1:9" ht="21" customHeight="1">
      <c r="A119" s="64"/>
      <c r="B119" s="26" t="s">
        <v>251</v>
      </c>
      <c r="C119" s="26" t="s">
        <v>337</v>
      </c>
      <c r="D119" s="12">
        <v>60006613294</v>
      </c>
      <c r="E119" s="30" t="s">
        <v>252</v>
      </c>
      <c r="F119" s="49">
        <f>651/2</f>
        <v>325.5</v>
      </c>
      <c r="G119" s="49">
        <v>0</v>
      </c>
      <c r="H119" s="76">
        <v>0</v>
      </c>
      <c r="I119" s="51">
        <f t="shared" si="1"/>
        <v>325.5</v>
      </c>
    </row>
    <row r="120" spans="1:9" ht="21" customHeight="1">
      <c r="A120" s="64"/>
      <c r="B120" s="26" t="s">
        <v>253</v>
      </c>
      <c r="C120" s="26" t="s">
        <v>303</v>
      </c>
      <c r="D120" s="12">
        <v>60006631725</v>
      </c>
      <c r="E120" s="30" t="s">
        <v>254</v>
      </c>
      <c r="F120" s="49">
        <f>1243/2</f>
        <v>621.5</v>
      </c>
      <c r="G120" s="49">
        <v>0</v>
      </c>
      <c r="H120" s="76">
        <v>0</v>
      </c>
      <c r="I120" s="51">
        <f t="shared" si="1"/>
        <v>621.5</v>
      </c>
    </row>
    <row r="121" spans="1:9" ht="21" customHeight="1">
      <c r="A121" s="64"/>
      <c r="B121" s="26" t="s">
        <v>255</v>
      </c>
      <c r="C121" s="26" t="s">
        <v>304</v>
      </c>
      <c r="D121" s="12">
        <v>60006631818</v>
      </c>
      <c r="E121" s="30" t="s">
        <v>256</v>
      </c>
      <c r="F121" s="49"/>
      <c r="G121" s="49"/>
      <c r="H121" s="76"/>
      <c r="I121" s="51">
        <f aca="true" t="shared" si="2" ref="I121:I130">F121+G121+H121</f>
        <v>0</v>
      </c>
    </row>
    <row r="122" spans="1:9" ht="21" customHeight="1">
      <c r="A122" s="64"/>
      <c r="B122" s="25" t="s">
        <v>257</v>
      </c>
      <c r="C122" s="95"/>
      <c r="D122" s="14">
        <v>60006631824</v>
      </c>
      <c r="E122" s="45" t="s">
        <v>258</v>
      </c>
      <c r="F122" s="49">
        <f>6122*0.25+7951*0.25</f>
        <v>3518.25</v>
      </c>
      <c r="G122" s="49">
        <v>0</v>
      </c>
      <c r="H122" s="76">
        <v>0</v>
      </c>
      <c r="I122" s="51">
        <f t="shared" si="2"/>
        <v>3518.25</v>
      </c>
    </row>
    <row r="123" spans="1:9" ht="21" customHeight="1">
      <c r="A123" s="64"/>
      <c r="B123" s="25" t="s">
        <v>259</v>
      </c>
      <c r="C123" s="25" t="s">
        <v>345</v>
      </c>
      <c r="D123" s="14">
        <v>60006872372</v>
      </c>
      <c r="E123" s="45" t="s">
        <v>260</v>
      </c>
      <c r="F123" s="49"/>
      <c r="G123" s="49"/>
      <c r="H123" s="76"/>
      <c r="I123" s="51">
        <f t="shared" si="2"/>
        <v>0</v>
      </c>
    </row>
    <row r="124" spans="1:9" ht="21" customHeight="1">
      <c r="A124" s="64"/>
      <c r="B124" s="25" t="s">
        <v>261</v>
      </c>
      <c r="C124" s="25" t="s">
        <v>321</v>
      </c>
      <c r="D124" s="14">
        <v>60006974384</v>
      </c>
      <c r="E124" s="45" t="s">
        <v>262</v>
      </c>
      <c r="F124" s="49">
        <f>762/2</f>
        <v>381</v>
      </c>
      <c r="G124" s="49">
        <v>0</v>
      </c>
      <c r="H124" s="76">
        <v>0</v>
      </c>
      <c r="I124" s="51">
        <f t="shared" si="2"/>
        <v>381</v>
      </c>
    </row>
    <row r="125" spans="1:9" ht="21" customHeight="1">
      <c r="A125" s="64"/>
      <c r="B125" s="25" t="s">
        <v>263</v>
      </c>
      <c r="C125" s="25" t="s">
        <v>368</v>
      </c>
      <c r="D125" s="14">
        <v>60006581324</v>
      </c>
      <c r="E125" s="45" t="s">
        <v>264</v>
      </c>
      <c r="F125" s="49"/>
      <c r="G125" s="49"/>
      <c r="H125" s="76"/>
      <c r="I125" s="51">
        <f t="shared" si="2"/>
        <v>0</v>
      </c>
    </row>
    <row r="126" spans="1:9" ht="21" customHeight="1">
      <c r="A126" s="64"/>
      <c r="B126" s="25" t="s">
        <v>265</v>
      </c>
      <c r="C126" s="25" t="s">
        <v>352</v>
      </c>
      <c r="D126" s="14">
        <v>60007651627</v>
      </c>
      <c r="E126" s="45" t="s">
        <v>266</v>
      </c>
      <c r="F126" s="49"/>
      <c r="G126" s="49"/>
      <c r="H126" s="76"/>
      <c r="I126" s="51">
        <f t="shared" si="2"/>
        <v>0</v>
      </c>
    </row>
    <row r="127" spans="1:9" ht="21" customHeight="1">
      <c r="A127" s="64"/>
      <c r="B127" s="25" t="s">
        <v>267</v>
      </c>
      <c r="C127" s="95"/>
      <c r="D127" s="14">
        <v>83007351147</v>
      </c>
      <c r="E127" s="45" t="s">
        <v>268</v>
      </c>
      <c r="F127" s="49"/>
      <c r="G127" s="49"/>
      <c r="H127" s="76"/>
      <c r="I127" s="51">
        <f t="shared" si="2"/>
        <v>0</v>
      </c>
    </row>
    <row r="128" spans="1:9" ht="21" customHeight="1">
      <c r="A128" s="64"/>
      <c r="B128" s="25" t="s">
        <v>269</v>
      </c>
      <c r="C128" s="25"/>
      <c r="D128" s="14">
        <v>83007705623</v>
      </c>
      <c r="E128" s="45" t="s">
        <v>270</v>
      </c>
      <c r="F128" s="49"/>
      <c r="G128" s="49"/>
      <c r="H128" s="76"/>
      <c r="I128" s="51">
        <f t="shared" si="2"/>
        <v>0</v>
      </c>
    </row>
    <row r="129" spans="1:9" ht="21" customHeight="1">
      <c r="A129" s="64"/>
      <c r="B129" s="25" t="s">
        <v>271</v>
      </c>
      <c r="C129" s="25"/>
      <c r="D129" s="14">
        <v>83007812488</v>
      </c>
      <c r="E129" s="45" t="s">
        <v>272</v>
      </c>
      <c r="F129" s="49"/>
      <c r="G129" s="49"/>
      <c r="H129" s="76"/>
      <c r="I129" s="51">
        <f t="shared" si="2"/>
        <v>0</v>
      </c>
    </row>
    <row r="130" spans="1:9" ht="21" customHeight="1">
      <c r="A130" s="64"/>
      <c r="B130" s="25" t="s">
        <v>273</v>
      </c>
      <c r="C130" s="25"/>
      <c r="D130" s="14">
        <v>83007946440</v>
      </c>
      <c r="E130" s="45" t="s">
        <v>274</v>
      </c>
      <c r="F130" s="49"/>
      <c r="G130" s="49"/>
      <c r="H130" s="76"/>
      <c r="I130" s="51">
        <f t="shared" si="2"/>
        <v>0</v>
      </c>
    </row>
    <row r="131" spans="1:9" ht="21" customHeight="1" thickBot="1">
      <c r="A131" s="65" t="s">
        <v>0</v>
      </c>
      <c r="B131" s="66"/>
      <c r="C131" s="66"/>
      <c r="D131" s="13"/>
      <c r="E131" s="13"/>
      <c r="F131" s="69"/>
      <c r="G131" s="69"/>
      <c r="H131" s="77"/>
      <c r="I131" s="70">
        <f>SUM(I8:I130)</f>
        <v>44344.91666666667</v>
      </c>
    </row>
    <row r="132" ht="13.5" thickTop="1"/>
  </sheetData>
  <sheetProtection/>
  <mergeCells count="3">
    <mergeCell ref="F4:I4"/>
    <mergeCell ref="F2:I2"/>
    <mergeCell ref="G3:I3"/>
  </mergeCells>
  <printOptions horizontalCentered="1"/>
  <pageMargins left="0.3937007874015748" right="0.3937007874015748" top="0.5905511811023623" bottom="0.5905511811023623" header="0" footer="0"/>
  <pageSetup fitToHeight="0" fitToWidth="1" horizontalDpi="300" verticalDpi="300" orientation="portrait" paperSize="9" scale="31" r:id="rId1"/>
  <headerFooter alignWithMargins="0">
    <oddHeader>&amp;R&amp;D</oddHeader>
    <oddFooter>&amp;CPágina &amp;P de &amp;N</oddFooter>
  </headerFooter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N131"/>
  <sheetViews>
    <sheetView zoomScale="75" zoomScaleNormal="75" zoomScalePageLayoutView="0" workbookViewId="0" topLeftCell="D115">
      <selection activeCell="A54" sqref="A54:IV56"/>
    </sheetView>
  </sheetViews>
  <sheetFormatPr defaultColWidth="11.421875" defaultRowHeight="12.75"/>
  <cols>
    <col min="1" max="1" width="15.140625" style="1" customWidth="1"/>
    <col min="2" max="2" width="88.7109375" style="21" customWidth="1"/>
    <col min="3" max="3" width="104.8515625" style="21" customWidth="1"/>
    <col min="4" max="4" width="22.7109375" style="1" customWidth="1"/>
    <col min="5" max="5" width="33.140625" style="1" hidden="1" customWidth="1"/>
    <col min="6" max="6" width="22.57421875" style="2" customWidth="1"/>
    <col min="7" max="7" width="23.421875" style="2" customWidth="1"/>
    <col min="8" max="8" width="19.140625" style="2" customWidth="1"/>
    <col min="9" max="9" width="18.28125" style="2" bestFit="1" customWidth="1"/>
    <col min="10" max="10" width="11.421875" style="1" customWidth="1"/>
    <col min="11" max="11" width="11.57421875" style="1" bestFit="1" customWidth="1"/>
    <col min="12" max="16384" width="11.421875" style="1" customWidth="1"/>
  </cols>
  <sheetData>
    <row r="1" ht="15.75" customHeight="1"/>
    <row r="2" spans="7:9" ht="42.75" customHeight="1">
      <c r="G2" s="96" t="s">
        <v>9</v>
      </c>
      <c r="H2" s="96"/>
      <c r="I2" s="96"/>
    </row>
    <row r="3" spans="8:9" ht="33.75" customHeight="1">
      <c r="H3" s="97"/>
      <c r="I3" s="97"/>
    </row>
    <row r="4" spans="7:9" ht="21.75" customHeight="1">
      <c r="G4" s="98" t="s">
        <v>112</v>
      </c>
      <c r="H4" s="98"/>
      <c r="I4" s="98"/>
    </row>
    <row r="5" ht="15.75" customHeight="1"/>
    <row r="6" spans="1:8" ht="15.75" customHeight="1" thickBot="1">
      <c r="A6" s="3"/>
      <c r="B6" s="22"/>
      <c r="C6" s="22"/>
      <c r="D6" s="3"/>
      <c r="E6" s="3"/>
      <c r="F6" s="4"/>
      <c r="G6" s="4"/>
      <c r="H6" s="4"/>
    </row>
    <row r="7" spans="1:9" ht="21" customHeight="1" thickTop="1">
      <c r="A7" s="5" t="s">
        <v>1</v>
      </c>
      <c r="B7" s="23" t="s">
        <v>3</v>
      </c>
      <c r="C7" s="23" t="s">
        <v>285</v>
      </c>
      <c r="D7" s="11" t="s">
        <v>2</v>
      </c>
      <c r="E7" s="16" t="s">
        <v>11</v>
      </c>
      <c r="F7" s="6" t="s">
        <v>6</v>
      </c>
      <c r="G7" s="6" t="s">
        <v>7</v>
      </c>
      <c r="H7" s="6" t="s">
        <v>8</v>
      </c>
      <c r="I7" s="7" t="s">
        <v>0</v>
      </c>
    </row>
    <row r="8" spans="1:9" ht="21" customHeight="1">
      <c r="A8" s="27"/>
      <c r="B8" s="72" t="s">
        <v>15</v>
      </c>
      <c r="C8" s="72" t="s">
        <v>316</v>
      </c>
      <c r="D8" s="12">
        <v>83006884161</v>
      </c>
      <c r="E8" s="30" t="s">
        <v>16</v>
      </c>
      <c r="F8" s="8">
        <v>280.72</v>
      </c>
      <c r="G8" s="8">
        <v>8.38</v>
      </c>
      <c r="H8" s="8">
        <v>0.1</v>
      </c>
      <c r="I8" s="9">
        <f aca="true" t="shared" si="0" ref="I8:I58">SUM(F8:H8)</f>
        <v>289.20000000000005</v>
      </c>
    </row>
    <row r="9" spans="1:9" ht="21" customHeight="1">
      <c r="A9" s="27"/>
      <c r="B9" s="26" t="s">
        <v>17</v>
      </c>
      <c r="C9" s="26" t="s">
        <v>314</v>
      </c>
      <c r="D9" s="12">
        <v>83001699293</v>
      </c>
      <c r="E9" s="30" t="s">
        <v>19</v>
      </c>
      <c r="F9" s="8">
        <v>223.515</v>
      </c>
      <c r="G9" s="8">
        <v>6.53</v>
      </c>
      <c r="H9" s="8">
        <v>0.415</v>
      </c>
      <c r="I9" s="9">
        <f t="shared" si="0"/>
        <v>230.45999999999998</v>
      </c>
    </row>
    <row r="10" spans="1:9" ht="21" customHeight="1">
      <c r="A10" s="27"/>
      <c r="B10" s="26" t="s">
        <v>18</v>
      </c>
      <c r="C10" s="26" t="s">
        <v>324</v>
      </c>
      <c r="D10" s="12">
        <v>83002793469</v>
      </c>
      <c r="E10" s="30" t="s">
        <v>20</v>
      </c>
      <c r="F10" s="8"/>
      <c r="G10" s="8"/>
      <c r="H10" s="8"/>
      <c r="I10" s="9">
        <f t="shared" si="0"/>
        <v>0</v>
      </c>
    </row>
    <row r="11" spans="1:9" ht="21" customHeight="1">
      <c r="A11" s="27"/>
      <c r="B11" s="26" t="s">
        <v>21</v>
      </c>
      <c r="C11" s="26" t="s">
        <v>365</v>
      </c>
      <c r="D11" s="12">
        <v>83005319585</v>
      </c>
      <c r="E11" s="30" t="s">
        <v>22</v>
      </c>
      <c r="F11" s="8"/>
      <c r="G11" s="8"/>
      <c r="H11" s="8"/>
      <c r="I11" s="9">
        <f t="shared" si="0"/>
        <v>0</v>
      </c>
    </row>
    <row r="12" spans="1:9" ht="21" customHeight="1">
      <c r="A12" s="27"/>
      <c r="B12" s="26" t="s">
        <v>23</v>
      </c>
      <c r="C12" s="26" t="s">
        <v>325</v>
      </c>
      <c r="D12" s="61">
        <v>999395654431</v>
      </c>
      <c r="E12" s="30" t="s">
        <v>24</v>
      </c>
      <c r="F12" s="8"/>
      <c r="G12" s="8"/>
      <c r="H12" s="8"/>
      <c r="I12" s="9">
        <f t="shared" si="0"/>
        <v>0</v>
      </c>
    </row>
    <row r="13" spans="1:9" ht="21" customHeight="1">
      <c r="A13" s="27"/>
      <c r="B13" s="26" t="s">
        <v>25</v>
      </c>
      <c r="C13" s="26" t="s">
        <v>315</v>
      </c>
      <c r="D13" s="61">
        <v>999395655454</v>
      </c>
      <c r="E13" s="30" t="s">
        <v>26</v>
      </c>
      <c r="F13" s="8"/>
      <c r="G13" s="8"/>
      <c r="H13" s="8"/>
      <c r="I13" s="9">
        <f t="shared" si="0"/>
        <v>0</v>
      </c>
    </row>
    <row r="14" spans="1:9" ht="21" customHeight="1">
      <c r="A14" s="27"/>
      <c r="B14" s="26" t="s">
        <v>27</v>
      </c>
      <c r="C14" s="26" t="s">
        <v>326</v>
      </c>
      <c r="D14" s="61">
        <v>512012286</v>
      </c>
      <c r="E14" s="30" t="s">
        <v>28</v>
      </c>
      <c r="F14" s="8"/>
      <c r="G14" s="8"/>
      <c r="H14" s="8"/>
      <c r="I14" s="9">
        <f t="shared" si="0"/>
        <v>0</v>
      </c>
    </row>
    <row r="15" spans="1:9" ht="21" customHeight="1">
      <c r="A15" s="27"/>
      <c r="B15" s="26" t="s">
        <v>29</v>
      </c>
      <c r="C15" s="26" t="s">
        <v>327</v>
      </c>
      <c r="D15" s="61">
        <v>999395659634</v>
      </c>
      <c r="E15" s="30" t="s">
        <v>30</v>
      </c>
      <c r="F15" s="8"/>
      <c r="G15" s="8"/>
      <c r="H15" s="8"/>
      <c r="I15" s="9">
        <f t="shared" si="0"/>
        <v>0</v>
      </c>
    </row>
    <row r="16" spans="1:9" ht="21" customHeight="1">
      <c r="A16" s="27"/>
      <c r="B16" s="26" t="s">
        <v>31</v>
      </c>
      <c r="C16" s="26" t="s">
        <v>317</v>
      </c>
      <c r="D16" s="61">
        <v>999395660462</v>
      </c>
      <c r="E16" s="30" t="s">
        <v>32</v>
      </c>
      <c r="F16" s="8"/>
      <c r="G16" s="8"/>
      <c r="H16" s="8"/>
      <c r="I16" s="9">
        <f t="shared" si="0"/>
        <v>0</v>
      </c>
    </row>
    <row r="17" spans="1:9" ht="21" customHeight="1">
      <c r="A17" s="27"/>
      <c r="B17" s="26" t="s">
        <v>33</v>
      </c>
      <c r="C17" s="26" t="s">
        <v>366</v>
      </c>
      <c r="D17" s="61">
        <v>999395662284</v>
      </c>
      <c r="E17" s="30" t="s">
        <v>34</v>
      </c>
      <c r="F17" s="8"/>
      <c r="G17" s="8"/>
      <c r="H17" s="8"/>
      <c r="I17" s="9">
        <f t="shared" si="0"/>
        <v>0</v>
      </c>
    </row>
    <row r="18" spans="1:9" ht="21" customHeight="1">
      <c r="A18" s="27"/>
      <c r="B18" s="26" t="s">
        <v>35</v>
      </c>
      <c r="C18" s="26" t="s">
        <v>292</v>
      </c>
      <c r="D18" s="61">
        <v>999395662947</v>
      </c>
      <c r="E18" s="30" t="s">
        <v>36</v>
      </c>
      <c r="F18" s="8"/>
      <c r="G18" s="8"/>
      <c r="H18" s="8"/>
      <c r="I18" s="9">
        <f t="shared" si="0"/>
        <v>0</v>
      </c>
    </row>
    <row r="19" spans="1:9" ht="21" customHeight="1">
      <c r="A19" s="27"/>
      <c r="B19" s="26" t="s">
        <v>37</v>
      </c>
      <c r="C19" s="26" t="s">
        <v>369</v>
      </c>
      <c r="D19" s="61">
        <v>999395663410</v>
      </c>
      <c r="E19" s="30" t="s">
        <v>38</v>
      </c>
      <c r="F19" s="8"/>
      <c r="G19" s="8"/>
      <c r="H19" s="8"/>
      <c r="I19" s="9">
        <f t="shared" si="0"/>
        <v>0</v>
      </c>
    </row>
    <row r="20" spans="1:9" ht="21" customHeight="1">
      <c r="A20" s="27"/>
      <c r="B20" s="26" t="s">
        <v>39</v>
      </c>
      <c r="C20" s="26" t="s">
        <v>293</v>
      </c>
      <c r="D20" s="61">
        <v>999395665004</v>
      </c>
      <c r="E20" s="30" t="s">
        <v>40</v>
      </c>
      <c r="F20" s="8"/>
      <c r="G20" s="8"/>
      <c r="H20" s="8"/>
      <c r="I20" s="9">
        <f t="shared" si="0"/>
        <v>0</v>
      </c>
    </row>
    <row r="21" spans="1:9" ht="21" customHeight="1">
      <c r="A21" s="27"/>
      <c r="B21" s="26" t="s">
        <v>41</v>
      </c>
      <c r="C21" s="26" t="s">
        <v>367</v>
      </c>
      <c r="D21" s="61">
        <v>999395665500</v>
      </c>
      <c r="E21" s="30" t="s">
        <v>42</v>
      </c>
      <c r="F21" s="8"/>
      <c r="G21" s="8"/>
      <c r="H21" s="8"/>
      <c r="I21" s="9">
        <f t="shared" si="0"/>
        <v>0</v>
      </c>
    </row>
    <row r="22" spans="1:9" ht="21" customHeight="1">
      <c r="A22" s="27"/>
      <c r="B22" s="26" t="s">
        <v>43</v>
      </c>
      <c r="C22" s="93"/>
      <c r="D22" s="61">
        <v>999395674678</v>
      </c>
      <c r="E22" s="30" t="s">
        <v>44</v>
      </c>
      <c r="F22" s="8"/>
      <c r="G22" s="8"/>
      <c r="H22" s="8"/>
      <c r="I22" s="9">
        <f t="shared" si="0"/>
        <v>0</v>
      </c>
    </row>
    <row r="23" spans="1:9" s="19" customFormat="1" ht="21" customHeight="1">
      <c r="A23" s="27"/>
      <c r="B23" s="26" t="s">
        <v>45</v>
      </c>
      <c r="C23" s="26" t="s">
        <v>307</v>
      </c>
      <c r="D23" s="61">
        <v>999395675751</v>
      </c>
      <c r="E23" s="30" t="s">
        <v>46</v>
      </c>
      <c r="F23" s="8"/>
      <c r="G23" s="8"/>
      <c r="H23" s="8"/>
      <c r="I23" s="9">
        <f t="shared" si="0"/>
        <v>0</v>
      </c>
    </row>
    <row r="24" spans="1:9" s="19" customFormat="1" ht="21" customHeight="1">
      <c r="A24" s="27"/>
      <c r="B24" s="26" t="s">
        <v>47</v>
      </c>
      <c r="C24" s="26" t="s">
        <v>318</v>
      </c>
      <c r="D24" s="61">
        <v>999395676257</v>
      </c>
      <c r="E24" s="30" t="s">
        <v>48</v>
      </c>
      <c r="F24" s="8"/>
      <c r="G24" s="8"/>
      <c r="H24" s="8"/>
      <c r="I24" s="9">
        <f t="shared" si="0"/>
        <v>0</v>
      </c>
    </row>
    <row r="25" spans="1:9" ht="21" customHeight="1">
      <c r="A25" s="27"/>
      <c r="B25" s="26" t="s">
        <v>49</v>
      </c>
      <c r="C25" s="26" t="s">
        <v>328</v>
      </c>
      <c r="D25" s="61">
        <v>999395676905</v>
      </c>
      <c r="E25" s="30" t="s">
        <v>50</v>
      </c>
      <c r="F25" s="8"/>
      <c r="G25" s="8"/>
      <c r="H25" s="8"/>
      <c r="I25" s="9">
        <f t="shared" si="0"/>
        <v>0</v>
      </c>
    </row>
    <row r="26" spans="1:9" ht="21" customHeight="1">
      <c r="A26" s="27"/>
      <c r="B26" s="26" t="s">
        <v>51</v>
      </c>
      <c r="C26" s="93"/>
      <c r="D26" s="61">
        <v>999395677339</v>
      </c>
      <c r="E26" s="30" t="s">
        <v>52</v>
      </c>
      <c r="F26" s="8"/>
      <c r="G26" s="8"/>
      <c r="H26" s="8"/>
      <c r="I26" s="9">
        <f t="shared" si="0"/>
        <v>0</v>
      </c>
    </row>
    <row r="27" spans="1:9" ht="21" customHeight="1">
      <c r="A27" s="27"/>
      <c r="B27" s="26" t="s">
        <v>53</v>
      </c>
      <c r="C27" s="93"/>
      <c r="D27" s="61">
        <v>999395680029</v>
      </c>
      <c r="E27" s="30" t="s">
        <v>54</v>
      </c>
      <c r="F27" s="8"/>
      <c r="G27" s="8"/>
      <c r="H27" s="8"/>
      <c r="I27" s="9">
        <f t="shared" si="0"/>
        <v>0</v>
      </c>
    </row>
    <row r="28" spans="1:9" ht="21" customHeight="1">
      <c r="A28" s="27"/>
      <c r="B28" s="26" t="s">
        <v>55</v>
      </c>
      <c r="C28" s="26" t="s">
        <v>294</v>
      </c>
      <c r="D28" s="61">
        <v>999395682858</v>
      </c>
      <c r="E28" s="30" t="s">
        <v>56</v>
      </c>
      <c r="F28" s="8"/>
      <c r="G28" s="8"/>
      <c r="H28" s="8"/>
      <c r="I28" s="9">
        <f t="shared" si="0"/>
        <v>0</v>
      </c>
    </row>
    <row r="29" spans="1:9" ht="21" customHeight="1">
      <c r="A29" s="27"/>
      <c r="B29" s="26" t="s">
        <v>57</v>
      </c>
      <c r="C29" s="26" t="s">
        <v>295</v>
      </c>
      <c r="D29" s="12">
        <v>512095448</v>
      </c>
      <c r="E29" s="30" t="s">
        <v>58</v>
      </c>
      <c r="F29" s="8"/>
      <c r="G29" s="8"/>
      <c r="H29" s="8"/>
      <c r="I29" s="9">
        <f t="shared" si="0"/>
        <v>0</v>
      </c>
    </row>
    <row r="30" spans="1:9" ht="21" customHeight="1">
      <c r="A30" s="27"/>
      <c r="B30" s="26" t="s">
        <v>59</v>
      </c>
      <c r="C30" s="26" t="s">
        <v>296</v>
      </c>
      <c r="D30" s="61">
        <v>999395695033</v>
      </c>
      <c r="E30" s="30" t="s">
        <v>60</v>
      </c>
      <c r="F30" s="8">
        <v>293.215</v>
      </c>
      <c r="G30" s="8">
        <v>8.675</v>
      </c>
      <c r="H30" s="8">
        <v>0.29</v>
      </c>
      <c r="I30" s="9">
        <f t="shared" si="0"/>
        <v>302.18</v>
      </c>
    </row>
    <row r="31" spans="1:9" ht="21" customHeight="1">
      <c r="A31" s="27"/>
      <c r="B31" s="26" t="s">
        <v>61</v>
      </c>
      <c r="C31" s="26" t="s">
        <v>296</v>
      </c>
      <c r="D31" s="61">
        <v>999395696742</v>
      </c>
      <c r="E31" s="30" t="s">
        <v>62</v>
      </c>
      <c r="F31" s="8">
        <v>484.705</v>
      </c>
      <c r="G31" s="8">
        <v>14.42</v>
      </c>
      <c r="H31" s="8">
        <v>0.29</v>
      </c>
      <c r="I31" s="9">
        <f t="shared" si="0"/>
        <v>499.415</v>
      </c>
    </row>
    <row r="32" spans="1:9" ht="21" customHeight="1">
      <c r="A32" s="27"/>
      <c r="B32" s="26" t="s">
        <v>63</v>
      </c>
      <c r="C32" s="26" t="s">
        <v>308</v>
      </c>
      <c r="D32" s="61">
        <v>999395697615</v>
      </c>
      <c r="E32" s="30" t="s">
        <v>64</v>
      </c>
      <c r="F32" s="8">
        <f>890.63/2</f>
        <v>445.315</v>
      </c>
      <c r="G32" s="8">
        <f>26.37/2</f>
        <v>13.185</v>
      </c>
      <c r="H32" s="8">
        <f>0.81/2</f>
        <v>0.405</v>
      </c>
      <c r="I32" s="9">
        <f t="shared" si="0"/>
        <v>458.905</v>
      </c>
    </row>
    <row r="33" spans="1:9" ht="21" customHeight="1">
      <c r="A33" s="27"/>
      <c r="B33" s="26" t="s">
        <v>65</v>
      </c>
      <c r="C33" s="26" t="s">
        <v>297</v>
      </c>
      <c r="D33" s="61">
        <v>999395698321</v>
      </c>
      <c r="E33" s="30" t="s">
        <v>66</v>
      </c>
      <c r="F33" s="8">
        <f>888.19/2</f>
        <v>444.095</v>
      </c>
      <c r="G33" s="8">
        <f>26.3/2</f>
        <v>13.15</v>
      </c>
      <c r="H33" s="8">
        <f>0.8/2</f>
        <v>0.4</v>
      </c>
      <c r="I33" s="9">
        <f t="shared" si="0"/>
        <v>457.645</v>
      </c>
    </row>
    <row r="34" spans="1:14" s="20" customFormat="1" ht="21" customHeight="1">
      <c r="A34" s="27"/>
      <c r="B34" s="26" t="s">
        <v>67</v>
      </c>
      <c r="C34" s="26" t="s">
        <v>309</v>
      </c>
      <c r="D34" s="62">
        <v>999395698661</v>
      </c>
      <c r="E34" s="31" t="s">
        <v>68</v>
      </c>
      <c r="F34" s="18">
        <f>355.83/2</f>
        <v>177.915</v>
      </c>
      <c r="G34" s="18">
        <f>10.34/2</f>
        <v>5.17</v>
      </c>
      <c r="H34" s="18">
        <f>0.79/2</f>
        <v>0.395</v>
      </c>
      <c r="I34" s="9">
        <f t="shared" si="0"/>
        <v>183.48</v>
      </c>
      <c r="J34" s="19"/>
      <c r="K34" s="19"/>
      <c r="L34" s="19"/>
      <c r="M34" s="19"/>
      <c r="N34" s="19"/>
    </row>
    <row r="35" spans="1:14" ht="21" customHeight="1">
      <c r="A35" s="27"/>
      <c r="B35" s="26" t="s">
        <v>69</v>
      </c>
      <c r="C35" s="26"/>
      <c r="D35" s="61">
        <v>999395699042</v>
      </c>
      <c r="E35" s="30" t="s">
        <v>70</v>
      </c>
      <c r="F35" s="8">
        <f>810.04/2</f>
        <v>405.02</v>
      </c>
      <c r="G35" s="8">
        <f>23.96/2</f>
        <v>11.98</v>
      </c>
      <c r="H35" s="8">
        <f>0.8/2</f>
        <v>0.4</v>
      </c>
      <c r="I35" s="9">
        <f t="shared" si="0"/>
        <v>417.4</v>
      </c>
      <c r="J35" s="19"/>
      <c r="K35" s="19"/>
      <c r="L35" s="19"/>
      <c r="M35" s="19"/>
      <c r="N35" s="19"/>
    </row>
    <row r="36" spans="1:14" ht="21" customHeight="1">
      <c r="A36" s="27"/>
      <c r="B36" s="26" t="s">
        <v>71</v>
      </c>
      <c r="C36" s="93"/>
      <c r="D36" s="61">
        <v>999395699192</v>
      </c>
      <c r="E36" s="30" t="s">
        <v>72</v>
      </c>
      <c r="F36" s="18">
        <f>411.1/2</f>
        <v>205.55</v>
      </c>
      <c r="G36" s="18">
        <f>11.98/2</f>
        <v>5.99</v>
      </c>
      <c r="H36" s="18">
        <f>0.83/2</f>
        <v>0.415</v>
      </c>
      <c r="I36" s="87">
        <f>SUM(F36:H36)</f>
        <v>211.955</v>
      </c>
      <c r="J36" s="19"/>
      <c r="K36" s="19"/>
      <c r="L36" s="19"/>
      <c r="M36" s="19"/>
      <c r="N36" s="19"/>
    </row>
    <row r="37" spans="1:14" ht="21" customHeight="1">
      <c r="A37" s="27"/>
      <c r="B37" s="26" t="s">
        <v>73</v>
      </c>
      <c r="C37" s="93"/>
      <c r="D37" s="61">
        <v>999395699382</v>
      </c>
      <c r="E37" s="30" t="s">
        <v>74</v>
      </c>
      <c r="F37" s="8">
        <f>436.35/2</f>
        <v>218.175</v>
      </c>
      <c r="G37" s="8">
        <f>12.74/2</f>
        <v>6.37</v>
      </c>
      <c r="H37" s="8">
        <f>0.81/2</f>
        <v>0.405</v>
      </c>
      <c r="I37" s="9">
        <f>SUM(F37:H37)</f>
        <v>224.95000000000002</v>
      </c>
      <c r="J37" s="19"/>
      <c r="K37" s="19"/>
      <c r="L37" s="19"/>
      <c r="M37" s="19"/>
      <c r="N37" s="19"/>
    </row>
    <row r="38" spans="1:14" ht="21" customHeight="1">
      <c r="A38" s="27"/>
      <c r="B38" s="26" t="s">
        <v>75</v>
      </c>
      <c r="C38" s="26" t="s">
        <v>298</v>
      </c>
      <c r="D38" s="61">
        <v>999395699631</v>
      </c>
      <c r="E38" s="30" t="s">
        <v>76</v>
      </c>
      <c r="F38" s="8">
        <f>158.37/2</f>
        <v>79.185</v>
      </c>
      <c r="G38" s="8">
        <f>4.4/2</f>
        <v>2.2</v>
      </c>
      <c r="H38" s="8">
        <f>0.83/2</f>
        <v>0.415</v>
      </c>
      <c r="I38" s="9">
        <f t="shared" si="0"/>
        <v>81.80000000000001</v>
      </c>
      <c r="J38" s="19"/>
      <c r="K38" s="19"/>
      <c r="L38" s="19"/>
      <c r="M38" s="19"/>
      <c r="N38" s="19"/>
    </row>
    <row r="39" spans="1:14" ht="21" customHeight="1">
      <c r="A39" s="27"/>
      <c r="B39" s="26" t="s">
        <v>77</v>
      </c>
      <c r="C39" s="93"/>
      <c r="D39" s="61">
        <v>999395699855</v>
      </c>
      <c r="E39" s="30" t="s">
        <v>78</v>
      </c>
      <c r="F39" s="8">
        <f>334.97/2</f>
        <v>167.485</v>
      </c>
      <c r="G39" s="8">
        <f>9.72/2</f>
        <v>4.86</v>
      </c>
      <c r="H39" s="8">
        <f>0.78/2</f>
        <v>0.39</v>
      </c>
      <c r="I39" s="9">
        <f t="shared" si="0"/>
        <v>172.735</v>
      </c>
      <c r="J39" s="19"/>
      <c r="K39" s="19"/>
      <c r="L39" s="19"/>
      <c r="M39" s="19"/>
      <c r="N39" s="19"/>
    </row>
    <row r="40" spans="1:14" ht="21" customHeight="1">
      <c r="A40" s="27"/>
      <c r="B40" s="26" t="s">
        <v>79</v>
      </c>
      <c r="C40" s="26" t="s">
        <v>299</v>
      </c>
      <c r="D40" s="61">
        <v>999395699914</v>
      </c>
      <c r="E40" s="30" t="s">
        <v>80</v>
      </c>
      <c r="F40" s="8">
        <f>383.59/2</f>
        <v>191.795</v>
      </c>
      <c r="G40" s="8">
        <f>11.18/2</f>
        <v>5.59</v>
      </c>
      <c r="H40" s="8">
        <f>0.77/2</f>
        <v>0.385</v>
      </c>
      <c r="I40" s="9">
        <f t="shared" si="0"/>
        <v>197.76999999999998</v>
      </c>
      <c r="J40" s="19"/>
      <c r="K40" s="19"/>
      <c r="L40" s="19"/>
      <c r="M40" s="19"/>
      <c r="N40" s="19"/>
    </row>
    <row r="41" spans="1:14" ht="21" customHeight="1">
      <c r="A41" s="27"/>
      <c r="B41" s="26" t="s">
        <v>81</v>
      </c>
      <c r="C41" s="26" t="s">
        <v>329</v>
      </c>
      <c r="D41" s="61">
        <v>999395720675</v>
      </c>
      <c r="E41" s="30" t="s">
        <v>82</v>
      </c>
      <c r="F41" s="8">
        <f>520.69/2</f>
        <v>260.345</v>
      </c>
      <c r="G41" s="8">
        <f>15.29/2</f>
        <v>7.645</v>
      </c>
      <c r="H41" s="8">
        <f>0.77/2</f>
        <v>0.385</v>
      </c>
      <c r="I41" s="9">
        <f t="shared" si="0"/>
        <v>268.375</v>
      </c>
      <c r="J41" s="19"/>
      <c r="K41" s="19"/>
      <c r="L41" s="19"/>
      <c r="M41" s="19"/>
      <c r="N41" s="19"/>
    </row>
    <row r="42" spans="1:14" ht="21" customHeight="1">
      <c r="A42" s="27"/>
      <c r="B42" s="26" t="s">
        <v>83</v>
      </c>
      <c r="C42" s="26" t="s">
        <v>300</v>
      </c>
      <c r="D42" s="61">
        <v>999395721493</v>
      </c>
      <c r="E42" s="30" t="s">
        <v>84</v>
      </c>
      <c r="F42" s="8">
        <f>555.82/2</f>
        <v>277.91</v>
      </c>
      <c r="G42" s="8">
        <f>16.31/2</f>
        <v>8.155</v>
      </c>
      <c r="H42" s="8">
        <f>0.85/2</f>
        <v>0.425</v>
      </c>
      <c r="I42" s="9">
        <f t="shared" si="0"/>
        <v>286.49</v>
      </c>
      <c r="J42" s="19"/>
      <c r="K42" s="19"/>
      <c r="L42" s="19"/>
      <c r="M42" s="19"/>
      <c r="N42" s="19"/>
    </row>
    <row r="43" spans="1:14" ht="21" customHeight="1">
      <c r="A43" s="27"/>
      <c r="B43" s="26" t="s">
        <v>85</v>
      </c>
      <c r="C43" s="26"/>
      <c r="D43" s="61">
        <v>999395728957</v>
      </c>
      <c r="E43" s="30" t="s">
        <v>86</v>
      </c>
      <c r="F43" s="8">
        <f>274.51/2</f>
        <v>137.255</v>
      </c>
      <c r="G43" s="8">
        <f>7.89/2</f>
        <v>3.945</v>
      </c>
      <c r="H43" s="8">
        <f>0.81/2</f>
        <v>0.405</v>
      </c>
      <c r="I43" s="9">
        <f t="shared" si="0"/>
        <v>141.605</v>
      </c>
      <c r="J43" s="19"/>
      <c r="K43" s="19"/>
      <c r="L43" s="19"/>
      <c r="M43" s="19"/>
      <c r="N43" s="19"/>
    </row>
    <row r="44" spans="1:14" ht="21" customHeight="1">
      <c r="A44" s="27"/>
      <c r="B44" s="26" t="s">
        <v>87</v>
      </c>
      <c r="C44" s="26" t="s">
        <v>330</v>
      </c>
      <c r="D44" s="61">
        <v>999395729357</v>
      </c>
      <c r="E44" s="30" t="s">
        <v>88</v>
      </c>
      <c r="F44" s="8">
        <f>257.29/2</f>
        <v>128.645</v>
      </c>
      <c r="G44" s="8">
        <f>7.36/2</f>
        <v>3.68</v>
      </c>
      <c r="H44" s="8">
        <f>0.83/2</f>
        <v>0.415</v>
      </c>
      <c r="I44" s="9">
        <f t="shared" si="0"/>
        <v>132.74</v>
      </c>
      <c r="J44" s="19"/>
      <c r="K44" s="19"/>
      <c r="L44" s="19"/>
      <c r="M44" s="19"/>
      <c r="N44" s="19"/>
    </row>
    <row r="45" spans="1:14" ht="21" customHeight="1">
      <c r="A45" s="27"/>
      <c r="B45" s="26" t="s">
        <v>89</v>
      </c>
      <c r="C45" s="93"/>
      <c r="D45" s="61">
        <v>999395729815</v>
      </c>
      <c r="E45" s="30" t="s">
        <v>90</v>
      </c>
      <c r="F45" s="8">
        <f>301.82/2</f>
        <v>150.91</v>
      </c>
      <c r="G45" s="8">
        <f>8.72/2</f>
        <v>4.36</v>
      </c>
      <c r="H45" s="8">
        <f>0.78/2</f>
        <v>0.39</v>
      </c>
      <c r="I45" s="9">
        <f t="shared" si="0"/>
        <v>155.66</v>
      </c>
      <c r="J45" s="19"/>
      <c r="K45" s="19"/>
      <c r="L45" s="19"/>
      <c r="M45" s="19"/>
      <c r="N45" s="19"/>
    </row>
    <row r="46" spans="1:14" ht="21" customHeight="1">
      <c r="A46" s="27"/>
      <c r="B46" s="26" t="s">
        <v>94</v>
      </c>
      <c r="C46" s="26" t="s">
        <v>331</v>
      </c>
      <c r="D46" s="61">
        <v>999395730546</v>
      </c>
      <c r="E46" s="30" t="s">
        <v>91</v>
      </c>
      <c r="F46" s="8">
        <f>165.77/2</f>
        <v>82.885</v>
      </c>
      <c r="G46" s="8">
        <f>4.64/2</f>
        <v>2.32</v>
      </c>
      <c r="H46" s="8">
        <f>0.78/2</f>
        <v>0.39</v>
      </c>
      <c r="I46" s="9">
        <f t="shared" si="0"/>
        <v>85.595</v>
      </c>
      <c r="J46" s="19"/>
      <c r="K46" s="19"/>
      <c r="L46" s="19"/>
      <c r="M46" s="19"/>
      <c r="N46" s="19"/>
    </row>
    <row r="47" spans="1:14" ht="21" customHeight="1">
      <c r="A47" s="27"/>
      <c r="B47" s="26" t="s">
        <v>92</v>
      </c>
      <c r="C47" s="26" t="s">
        <v>319</v>
      </c>
      <c r="D47" s="61">
        <v>999395731005</v>
      </c>
      <c r="E47" s="32" t="s">
        <v>93</v>
      </c>
      <c r="F47" s="8">
        <f>357.16/2</f>
        <v>178.58</v>
      </c>
      <c r="G47" s="8">
        <f>10.37/2</f>
        <v>5.185</v>
      </c>
      <c r="H47" s="8">
        <f>0.81/2</f>
        <v>0.405</v>
      </c>
      <c r="I47" s="9">
        <f t="shared" si="0"/>
        <v>184.17000000000002</v>
      </c>
      <c r="J47" s="19"/>
      <c r="K47" s="19"/>
      <c r="L47" s="19"/>
      <c r="M47" s="19"/>
      <c r="N47" s="19"/>
    </row>
    <row r="48" spans="1:14" ht="21" customHeight="1">
      <c r="A48" s="27"/>
      <c r="B48" s="26" t="s">
        <v>95</v>
      </c>
      <c r="C48" s="93"/>
      <c r="D48" s="61">
        <v>999395731797</v>
      </c>
      <c r="E48" s="30" t="s">
        <v>96</v>
      </c>
      <c r="F48" s="8">
        <f>124.05/2</f>
        <v>62.025</v>
      </c>
      <c r="G48" s="8">
        <f>3.37/2</f>
        <v>1.685</v>
      </c>
      <c r="H48" s="8">
        <f>0.81/2</f>
        <v>0.405</v>
      </c>
      <c r="I48" s="9">
        <f t="shared" si="0"/>
        <v>64.115</v>
      </c>
      <c r="J48" s="19"/>
      <c r="K48" s="19"/>
      <c r="L48" s="19"/>
      <c r="M48" s="19"/>
      <c r="N48" s="19"/>
    </row>
    <row r="49" spans="1:14" ht="21" customHeight="1">
      <c r="A49" s="27"/>
      <c r="B49" s="26" t="s">
        <v>97</v>
      </c>
      <c r="C49" s="26"/>
      <c r="D49" s="61">
        <v>999395850272</v>
      </c>
      <c r="E49" s="30" t="s">
        <v>98</v>
      </c>
      <c r="F49" s="8"/>
      <c r="G49" s="8"/>
      <c r="H49" s="8"/>
      <c r="I49" s="9">
        <f t="shared" si="0"/>
        <v>0</v>
      </c>
      <c r="J49" s="19"/>
      <c r="K49" s="19"/>
      <c r="L49" s="19"/>
      <c r="M49" s="19"/>
      <c r="N49" s="19"/>
    </row>
    <row r="50" spans="1:14" ht="21" customHeight="1">
      <c r="A50" s="27"/>
      <c r="B50" s="26" t="s">
        <v>99</v>
      </c>
      <c r="C50" s="93"/>
      <c r="D50" s="61">
        <v>999395869847</v>
      </c>
      <c r="E50" s="30" t="s">
        <v>100</v>
      </c>
      <c r="F50" s="8"/>
      <c r="G50" s="8"/>
      <c r="H50" s="8"/>
      <c r="I50" s="9">
        <f t="shared" si="0"/>
        <v>0</v>
      </c>
      <c r="J50" s="19"/>
      <c r="K50" s="19"/>
      <c r="L50" s="19"/>
      <c r="M50" s="19"/>
      <c r="N50" s="19"/>
    </row>
    <row r="51" spans="1:14" ht="21" customHeight="1">
      <c r="A51" s="27"/>
      <c r="B51" s="26" t="s">
        <v>101</v>
      </c>
      <c r="C51" s="26" t="s">
        <v>371</v>
      </c>
      <c r="D51" s="12">
        <v>83007836944</v>
      </c>
      <c r="E51" s="30" t="s">
        <v>102</v>
      </c>
      <c r="F51" s="8"/>
      <c r="G51" s="8"/>
      <c r="H51" s="8"/>
      <c r="I51" s="9">
        <f t="shared" si="0"/>
        <v>0</v>
      </c>
      <c r="J51" s="19"/>
      <c r="K51" s="19"/>
      <c r="L51" s="19"/>
      <c r="M51" s="19"/>
      <c r="N51" s="19"/>
    </row>
    <row r="52" spans="1:14" ht="21" customHeight="1">
      <c r="A52" s="27"/>
      <c r="B52" s="26" t="s">
        <v>103</v>
      </c>
      <c r="C52" s="26" t="s">
        <v>286</v>
      </c>
      <c r="D52" s="61">
        <v>999418107083</v>
      </c>
      <c r="E52" s="30" t="s">
        <v>104</v>
      </c>
      <c r="F52" s="8">
        <f>786.1/2</f>
        <v>393.05</v>
      </c>
      <c r="G52" s="8">
        <f>23.25/2</f>
        <v>11.625</v>
      </c>
      <c r="H52" s="8">
        <f>0.78/2</f>
        <v>0.39</v>
      </c>
      <c r="I52" s="9">
        <f t="shared" si="0"/>
        <v>405.065</v>
      </c>
      <c r="J52" s="19"/>
      <c r="K52" s="19"/>
      <c r="L52" s="19"/>
      <c r="M52" s="19"/>
      <c r="N52" s="19"/>
    </row>
    <row r="53" spans="1:14" ht="21" customHeight="1">
      <c r="A53" s="27"/>
      <c r="B53" s="26" t="s">
        <v>105</v>
      </c>
      <c r="C53" s="26" t="s">
        <v>332</v>
      </c>
      <c r="D53" s="61">
        <v>999418108530</v>
      </c>
      <c r="E53" s="30" t="s">
        <v>106</v>
      </c>
      <c r="F53" s="8"/>
      <c r="G53" s="8"/>
      <c r="H53" s="8"/>
      <c r="I53" s="9">
        <f t="shared" si="0"/>
        <v>0</v>
      </c>
      <c r="J53" s="19"/>
      <c r="K53" s="19"/>
      <c r="L53" s="19"/>
      <c r="M53" s="19"/>
      <c r="N53" s="19"/>
    </row>
    <row r="54" spans="1:14" ht="21" customHeight="1">
      <c r="A54" s="27"/>
      <c r="B54" s="26" t="s">
        <v>107</v>
      </c>
      <c r="C54" s="26" t="s">
        <v>302</v>
      </c>
      <c r="D54" s="61">
        <v>999444028261</v>
      </c>
      <c r="E54" s="30" t="s">
        <v>108</v>
      </c>
      <c r="F54" s="8"/>
      <c r="G54" s="8"/>
      <c r="H54" s="8"/>
      <c r="I54" s="9">
        <f t="shared" si="0"/>
        <v>0</v>
      </c>
      <c r="J54" s="19"/>
      <c r="K54" s="19"/>
      <c r="L54" s="19"/>
      <c r="M54" s="19"/>
      <c r="N54" s="19"/>
    </row>
    <row r="55" spans="1:14" ht="21" customHeight="1">
      <c r="A55" s="27"/>
      <c r="B55" s="26" t="s">
        <v>109</v>
      </c>
      <c r="C55" s="26" t="s">
        <v>313</v>
      </c>
      <c r="D55" s="12">
        <v>83000769293</v>
      </c>
      <c r="E55" s="30" t="s">
        <v>110</v>
      </c>
      <c r="F55" s="8"/>
      <c r="G55" s="8"/>
      <c r="H55" s="8"/>
      <c r="I55" s="9">
        <f t="shared" si="0"/>
        <v>0</v>
      </c>
      <c r="J55" s="19"/>
      <c r="K55" s="19"/>
      <c r="L55" s="19"/>
      <c r="M55" s="19"/>
      <c r="N55" s="19"/>
    </row>
    <row r="56" spans="1:14" s="29" customFormat="1" ht="21" customHeight="1">
      <c r="A56" s="27"/>
      <c r="B56" s="35" t="s">
        <v>125</v>
      </c>
      <c r="C56" s="94"/>
      <c r="D56" s="36">
        <v>60006203645</v>
      </c>
      <c r="E56" s="37" t="s">
        <v>126</v>
      </c>
      <c r="F56" s="8"/>
      <c r="G56" s="8"/>
      <c r="H56" s="8"/>
      <c r="I56" s="9">
        <f t="shared" si="0"/>
        <v>0</v>
      </c>
      <c r="J56" s="19"/>
      <c r="K56" s="19"/>
      <c r="L56" s="19"/>
      <c r="M56" s="19"/>
      <c r="N56" s="19"/>
    </row>
    <row r="57" spans="1:14" ht="21" customHeight="1">
      <c r="A57" s="27"/>
      <c r="B57" s="26" t="s">
        <v>127</v>
      </c>
      <c r="C57" s="93"/>
      <c r="D57" s="12">
        <v>60007966411</v>
      </c>
      <c r="E57" s="30" t="s">
        <v>128</v>
      </c>
      <c r="F57" s="8"/>
      <c r="G57" s="8"/>
      <c r="H57" s="8"/>
      <c r="I57" s="9">
        <f t="shared" si="0"/>
        <v>0</v>
      </c>
      <c r="J57" s="19"/>
      <c r="K57" s="19"/>
      <c r="L57" s="19"/>
      <c r="M57" s="19"/>
      <c r="N57" s="19"/>
    </row>
    <row r="58" spans="1:14" ht="21" customHeight="1">
      <c r="A58" s="27"/>
      <c r="B58" s="26" t="s">
        <v>129</v>
      </c>
      <c r="C58" s="26" t="s">
        <v>289</v>
      </c>
      <c r="D58" s="12">
        <v>60006643135</v>
      </c>
      <c r="E58" s="30" t="s">
        <v>130</v>
      </c>
      <c r="F58" s="8">
        <f>105.24/2</f>
        <v>52.62</v>
      </c>
      <c r="G58" s="8">
        <f>3.12/2</f>
        <v>1.56</v>
      </c>
      <c r="H58" s="8">
        <f>0.08/2</f>
        <v>0.04</v>
      </c>
      <c r="I58" s="9">
        <f t="shared" si="0"/>
        <v>54.22</v>
      </c>
      <c r="J58" s="19"/>
      <c r="K58" s="19"/>
      <c r="L58" s="19"/>
      <c r="M58" s="19"/>
      <c r="N58" s="19"/>
    </row>
    <row r="59" spans="1:14" ht="21" customHeight="1">
      <c r="A59" s="27"/>
      <c r="B59" s="26" t="s">
        <v>131</v>
      </c>
      <c r="C59" s="93"/>
      <c r="D59" s="12">
        <v>60007843244</v>
      </c>
      <c r="E59" s="30" t="s">
        <v>132</v>
      </c>
      <c r="F59" s="8">
        <f>111.96/2</f>
        <v>55.98</v>
      </c>
      <c r="G59" s="8">
        <f>3.33/2</f>
        <v>1.665</v>
      </c>
      <c r="H59" s="8">
        <f>0.08/2</f>
        <v>0.04</v>
      </c>
      <c r="I59" s="9">
        <f aca="true" t="shared" si="1" ref="I59:I119">SUM(F59:H59)</f>
        <v>57.684999999999995</v>
      </c>
      <c r="J59" s="19"/>
      <c r="K59" s="19"/>
      <c r="L59" s="19"/>
      <c r="M59" s="19"/>
      <c r="N59" s="19"/>
    </row>
    <row r="60" spans="1:14" ht="21" customHeight="1">
      <c r="A60" s="27"/>
      <c r="B60" s="26" t="s">
        <v>133</v>
      </c>
      <c r="C60" s="26" t="s">
        <v>322</v>
      </c>
      <c r="D60" s="12">
        <v>60007843069</v>
      </c>
      <c r="E60" s="30" t="s">
        <v>134</v>
      </c>
      <c r="F60" s="8">
        <f>95.05/2</f>
        <v>47.525</v>
      </c>
      <c r="G60" s="8">
        <f>2.76/2</f>
        <v>1.38</v>
      </c>
      <c r="H60" s="8">
        <f>0.22/2</f>
        <v>0.11</v>
      </c>
      <c r="I60" s="9">
        <f t="shared" si="1"/>
        <v>49.015</v>
      </c>
      <c r="J60" s="19"/>
      <c r="K60" s="19"/>
      <c r="L60" s="19"/>
      <c r="M60" s="19"/>
      <c r="N60" s="19"/>
    </row>
    <row r="61" spans="1:14" ht="21" customHeight="1">
      <c r="A61" s="27"/>
      <c r="B61" s="26" t="s">
        <v>135</v>
      </c>
      <c r="C61" s="26" t="s">
        <v>353</v>
      </c>
      <c r="D61" s="12">
        <v>60007843073</v>
      </c>
      <c r="E61" s="30" t="s">
        <v>136</v>
      </c>
      <c r="F61" s="8">
        <f>138.89/2</f>
        <v>69.445</v>
      </c>
      <c r="G61" s="8">
        <f>4.13/2</f>
        <v>2.065</v>
      </c>
      <c r="H61" s="8">
        <f>0.08/2</f>
        <v>0.04</v>
      </c>
      <c r="I61" s="9">
        <f t="shared" si="1"/>
        <v>71.55</v>
      </c>
      <c r="J61" s="19"/>
      <c r="K61" s="19"/>
      <c r="L61" s="19"/>
      <c r="M61" s="19"/>
      <c r="N61" s="19"/>
    </row>
    <row r="62" spans="1:14" ht="21" customHeight="1">
      <c r="A62" s="27"/>
      <c r="B62" s="26" t="s">
        <v>137</v>
      </c>
      <c r="C62" s="93"/>
      <c r="D62" s="12">
        <v>60007843356</v>
      </c>
      <c r="E62" s="30" t="s">
        <v>138</v>
      </c>
      <c r="F62" s="8">
        <f>47.26/2</f>
        <v>23.63</v>
      </c>
      <c r="G62" s="8">
        <f>1.38/2</f>
        <v>0.69</v>
      </c>
      <c r="H62" s="8">
        <f>0.08/2</f>
        <v>0.04</v>
      </c>
      <c r="I62" s="9">
        <f t="shared" si="1"/>
        <v>24.36</v>
      </c>
      <c r="J62" s="19"/>
      <c r="K62" s="19"/>
      <c r="L62" s="19"/>
      <c r="M62" s="19"/>
      <c r="N62" s="19"/>
    </row>
    <row r="63" spans="1:14" ht="21" customHeight="1">
      <c r="A63" s="27"/>
      <c r="B63" s="26" t="s">
        <v>139</v>
      </c>
      <c r="C63" s="93"/>
      <c r="D63" s="12">
        <v>60007847274</v>
      </c>
      <c r="E63" s="30" t="s">
        <v>140</v>
      </c>
      <c r="F63" s="8">
        <f>66.78/2</f>
        <v>33.39</v>
      </c>
      <c r="G63" s="8">
        <f>1.91/2</f>
        <v>0.955</v>
      </c>
      <c r="H63" s="8">
        <f>0.22/2</f>
        <v>0.11</v>
      </c>
      <c r="I63" s="9">
        <f t="shared" si="1"/>
        <v>34.455</v>
      </c>
      <c r="J63" s="19"/>
      <c r="K63" s="19"/>
      <c r="L63" s="19"/>
      <c r="M63" s="19"/>
      <c r="N63" s="19"/>
    </row>
    <row r="64" spans="1:14" ht="21" customHeight="1">
      <c r="A64" s="27"/>
      <c r="B64" s="26" t="s">
        <v>141</v>
      </c>
      <c r="C64" s="93"/>
      <c r="D64" s="12">
        <v>60007847482</v>
      </c>
      <c r="E64" s="30" t="s">
        <v>142</v>
      </c>
      <c r="F64" s="8"/>
      <c r="G64" s="8"/>
      <c r="H64" s="8"/>
      <c r="I64" s="9">
        <f t="shared" si="1"/>
        <v>0</v>
      </c>
      <c r="J64" s="19"/>
      <c r="K64" s="19"/>
      <c r="L64" s="19"/>
      <c r="M64" s="19"/>
      <c r="N64" s="19"/>
    </row>
    <row r="65" spans="1:14" s="29" customFormat="1" ht="21" customHeight="1">
      <c r="A65" s="27"/>
      <c r="B65" s="26" t="s">
        <v>143</v>
      </c>
      <c r="C65" s="26" t="s">
        <v>323</v>
      </c>
      <c r="D65" s="12">
        <v>60007858040</v>
      </c>
      <c r="E65" s="78" t="s">
        <v>144</v>
      </c>
      <c r="F65" s="8"/>
      <c r="G65" s="8"/>
      <c r="H65" s="8"/>
      <c r="I65" s="9">
        <f t="shared" si="1"/>
        <v>0</v>
      </c>
      <c r="J65" s="19"/>
      <c r="K65" s="19"/>
      <c r="L65" s="19"/>
      <c r="M65" s="19"/>
      <c r="N65" s="19"/>
    </row>
    <row r="66" spans="1:14" s="20" customFormat="1" ht="21" customHeight="1">
      <c r="A66" s="27"/>
      <c r="B66" s="43" t="s">
        <v>145</v>
      </c>
      <c r="C66" s="43" t="s">
        <v>358</v>
      </c>
      <c r="D66" s="44">
        <v>60007889355</v>
      </c>
      <c r="E66" s="37" t="s">
        <v>146</v>
      </c>
      <c r="F66" s="18">
        <f>51.81/2</f>
        <v>25.905</v>
      </c>
      <c r="G66" s="18">
        <f>1.52/2</f>
        <v>0.76</v>
      </c>
      <c r="H66" s="18">
        <f>0.07/2</f>
        <v>0.035</v>
      </c>
      <c r="I66" s="9">
        <f t="shared" si="1"/>
        <v>26.700000000000003</v>
      </c>
      <c r="J66" s="19"/>
      <c r="K66" s="19"/>
      <c r="L66" s="19"/>
      <c r="M66" s="19"/>
      <c r="N66" s="19"/>
    </row>
    <row r="67" spans="1:14" s="20" customFormat="1" ht="21" customHeight="1">
      <c r="A67" s="39"/>
      <c r="B67" s="41" t="s">
        <v>147</v>
      </c>
      <c r="C67" s="41" t="s">
        <v>311</v>
      </c>
      <c r="D67" s="40">
        <v>60007899611</v>
      </c>
      <c r="E67" s="42" t="s">
        <v>148</v>
      </c>
      <c r="F67" s="18"/>
      <c r="G67" s="18"/>
      <c r="H67" s="18"/>
      <c r="I67" s="9">
        <f t="shared" si="1"/>
        <v>0</v>
      </c>
      <c r="J67" s="19"/>
      <c r="K67" s="19"/>
      <c r="L67" s="19"/>
      <c r="M67" s="19"/>
      <c r="N67" s="19"/>
    </row>
    <row r="68" spans="1:14" ht="21" customHeight="1">
      <c r="A68" s="27"/>
      <c r="B68" s="26" t="s">
        <v>149</v>
      </c>
      <c r="C68" s="93"/>
      <c r="D68" s="12">
        <v>60008073286</v>
      </c>
      <c r="E68" s="30" t="s">
        <v>150</v>
      </c>
      <c r="F68" s="8">
        <f>32.78/2</f>
        <v>16.39</v>
      </c>
      <c r="G68" s="8">
        <f>0.89/2</f>
        <v>0.445</v>
      </c>
      <c r="H68" s="8">
        <f>0.22/2</f>
        <v>0.11</v>
      </c>
      <c r="I68" s="9">
        <f t="shared" si="1"/>
        <v>16.945</v>
      </c>
      <c r="J68" s="19"/>
      <c r="K68" s="19"/>
      <c r="L68" s="19"/>
      <c r="M68" s="19"/>
      <c r="N68" s="19"/>
    </row>
    <row r="69" spans="1:14" ht="21" customHeight="1">
      <c r="A69" s="27"/>
      <c r="B69" s="26" t="s">
        <v>151</v>
      </c>
      <c r="C69" s="26"/>
      <c r="D69" s="12">
        <v>60008101006</v>
      </c>
      <c r="E69" s="30" t="s">
        <v>152</v>
      </c>
      <c r="F69" s="8">
        <f>18.23+(41.37/2)</f>
        <v>38.915</v>
      </c>
      <c r="G69" s="8">
        <f>0.52+(1.19/2)</f>
        <v>1.115</v>
      </c>
      <c r="H69" s="8">
        <f>0.07+(0.13/2)</f>
        <v>0.135</v>
      </c>
      <c r="I69" s="9">
        <f t="shared" si="1"/>
        <v>40.165</v>
      </c>
      <c r="J69" s="19"/>
      <c r="K69" s="19"/>
      <c r="L69" s="19"/>
      <c r="M69" s="19"/>
      <c r="N69" s="19"/>
    </row>
    <row r="70" spans="1:14" ht="21" customHeight="1">
      <c r="A70" s="27"/>
      <c r="B70" s="26" t="s">
        <v>153</v>
      </c>
      <c r="C70" s="26" t="s">
        <v>359</v>
      </c>
      <c r="D70" s="12">
        <v>60008115357</v>
      </c>
      <c r="E70" s="30" t="s">
        <v>154</v>
      </c>
      <c r="F70" s="8"/>
      <c r="G70" s="8"/>
      <c r="H70" s="8"/>
      <c r="I70" s="9">
        <f t="shared" si="1"/>
        <v>0</v>
      </c>
      <c r="J70" s="19"/>
      <c r="K70" s="19"/>
      <c r="L70" s="19"/>
      <c r="M70" s="19"/>
      <c r="N70" s="19"/>
    </row>
    <row r="71" spans="1:14" ht="21" customHeight="1">
      <c r="A71" s="27"/>
      <c r="B71" s="26" t="s">
        <v>155</v>
      </c>
      <c r="C71" s="26" t="s">
        <v>312</v>
      </c>
      <c r="D71" s="12">
        <v>60008450632</v>
      </c>
      <c r="E71" s="30" t="s">
        <v>156</v>
      </c>
      <c r="F71" s="8"/>
      <c r="G71" s="8"/>
      <c r="H71" s="8"/>
      <c r="I71" s="9">
        <f t="shared" si="1"/>
        <v>0</v>
      </c>
      <c r="J71" s="19"/>
      <c r="K71" s="19"/>
      <c r="L71" s="19"/>
      <c r="M71" s="19"/>
      <c r="N71" s="19"/>
    </row>
    <row r="72" spans="1:14" ht="21" customHeight="1">
      <c r="A72" s="27"/>
      <c r="B72" s="26" t="s">
        <v>157</v>
      </c>
      <c r="C72" s="26" t="s">
        <v>360</v>
      </c>
      <c r="D72" s="12">
        <v>60008427213</v>
      </c>
      <c r="E72" s="30" t="s">
        <v>158</v>
      </c>
      <c r="F72" s="8">
        <f>57.27/2</f>
        <v>28.635</v>
      </c>
      <c r="G72" s="8">
        <f>1.69/2</f>
        <v>0.845</v>
      </c>
      <c r="H72" s="8">
        <f>0.08/2</f>
        <v>0.04</v>
      </c>
      <c r="I72" s="9">
        <f t="shared" si="1"/>
        <v>29.52</v>
      </c>
      <c r="J72" s="19"/>
      <c r="K72" s="19"/>
      <c r="L72" s="19"/>
      <c r="M72" s="19"/>
      <c r="N72" s="19"/>
    </row>
    <row r="73" spans="1:14" ht="21" customHeight="1">
      <c r="A73" s="27"/>
      <c r="B73" s="26" t="s">
        <v>159</v>
      </c>
      <c r="C73" s="26" t="s">
        <v>361</v>
      </c>
      <c r="D73" s="12">
        <v>60008475541</v>
      </c>
      <c r="E73" s="30" t="s">
        <v>160</v>
      </c>
      <c r="F73" s="8">
        <f>85.8/2</f>
        <v>42.9</v>
      </c>
      <c r="G73" s="8">
        <f>2.54/2</f>
        <v>1.27</v>
      </c>
      <c r="H73" s="8">
        <f>0.08/2</f>
        <v>0.04</v>
      </c>
      <c r="I73" s="9">
        <f t="shared" si="1"/>
        <v>44.21</v>
      </c>
      <c r="J73" s="19"/>
      <c r="K73" s="19"/>
      <c r="L73" s="19"/>
      <c r="M73" s="19"/>
      <c r="N73" s="19"/>
    </row>
    <row r="74" spans="1:14" ht="21" customHeight="1">
      <c r="A74" s="27"/>
      <c r="B74" s="26" t="s">
        <v>161</v>
      </c>
      <c r="C74" s="93"/>
      <c r="D74" s="12">
        <v>60008368817</v>
      </c>
      <c r="E74" s="30" t="s">
        <v>162</v>
      </c>
      <c r="F74" s="8"/>
      <c r="G74" s="8"/>
      <c r="H74" s="8"/>
      <c r="I74" s="9">
        <f t="shared" si="1"/>
        <v>0</v>
      </c>
      <c r="J74" s="19"/>
      <c r="K74" s="19"/>
      <c r="L74" s="19"/>
      <c r="M74" s="19"/>
      <c r="N74" s="19"/>
    </row>
    <row r="75" spans="1:14" ht="21" customHeight="1">
      <c r="A75" s="27"/>
      <c r="B75" s="26" t="s">
        <v>163</v>
      </c>
      <c r="C75" s="26" t="s">
        <v>372</v>
      </c>
      <c r="D75" s="12">
        <v>60091069643</v>
      </c>
      <c r="E75" s="30" t="s">
        <v>164</v>
      </c>
      <c r="F75" s="8"/>
      <c r="G75" s="8"/>
      <c r="H75" s="8"/>
      <c r="I75" s="9">
        <f t="shared" si="1"/>
        <v>0</v>
      </c>
      <c r="J75" s="19"/>
      <c r="K75" s="19"/>
      <c r="L75" s="19"/>
      <c r="M75" s="19"/>
      <c r="N75" s="19"/>
    </row>
    <row r="76" spans="1:14" ht="21" customHeight="1">
      <c r="A76" s="27"/>
      <c r="B76" s="26" t="s">
        <v>165</v>
      </c>
      <c r="C76" s="26" t="s">
        <v>363</v>
      </c>
      <c r="D76" s="12">
        <v>60089709450</v>
      </c>
      <c r="E76" s="30" t="s">
        <v>166</v>
      </c>
      <c r="F76" s="8">
        <f>63.02/2</f>
        <v>31.51</v>
      </c>
      <c r="G76" s="8">
        <f>1.86/2</f>
        <v>0.93</v>
      </c>
      <c r="H76" s="8">
        <f>0.08/2</f>
        <v>0.04</v>
      </c>
      <c r="I76" s="9">
        <f t="shared" si="1"/>
        <v>32.480000000000004</v>
      </c>
      <c r="J76" s="19"/>
      <c r="K76" s="19"/>
      <c r="L76" s="19"/>
      <c r="M76" s="19"/>
      <c r="N76" s="19"/>
    </row>
    <row r="77" spans="1:14" ht="21" customHeight="1">
      <c r="A77" s="27"/>
      <c r="B77" s="26" t="s">
        <v>167</v>
      </c>
      <c r="C77" s="26" t="s">
        <v>362</v>
      </c>
      <c r="D77" s="12">
        <v>60089553056</v>
      </c>
      <c r="E77" s="30" t="s">
        <v>168</v>
      </c>
      <c r="F77" s="8">
        <f>594.16/2</f>
        <v>297.08</v>
      </c>
      <c r="G77" s="8">
        <f>17.73/2</f>
        <v>8.865</v>
      </c>
      <c r="H77" s="8">
        <f>0.22/2</f>
        <v>0.11</v>
      </c>
      <c r="I77" s="9">
        <f t="shared" si="1"/>
        <v>306.055</v>
      </c>
      <c r="J77" s="19"/>
      <c r="K77" s="19"/>
      <c r="L77" s="19"/>
      <c r="M77" s="19"/>
      <c r="N77" s="19"/>
    </row>
    <row r="78" spans="1:14" s="20" customFormat="1" ht="21" customHeight="1">
      <c r="A78" s="27"/>
      <c r="B78" s="26" t="s">
        <v>169</v>
      </c>
      <c r="C78" s="26" t="s">
        <v>364</v>
      </c>
      <c r="D78" s="17">
        <v>60090692774</v>
      </c>
      <c r="E78" s="31" t="s">
        <v>170</v>
      </c>
      <c r="F78" s="18"/>
      <c r="G78" s="18"/>
      <c r="H78" s="18"/>
      <c r="I78" s="9">
        <f t="shared" si="1"/>
        <v>0</v>
      </c>
      <c r="J78" s="19"/>
      <c r="K78" s="19"/>
      <c r="L78" s="19"/>
      <c r="M78" s="19"/>
      <c r="N78" s="19"/>
    </row>
    <row r="79" spans="1:14" ht="21" customHeight="1">
      <c r="A79" s="27"/>
      <c r="B79" s="26" t="s">
        <v>171</v>
      </c>
      <c r="C79" s="93"/>
      <c r="D79" s="12">
        <v>60006579681</v>
      </c>
      <c r="E79" s="30" t="s">
        <v>172</v>
      </c>
      <c r="F79" s="8"/>
      <c r="G79" s="8"/>
      <c r="H79" s="8"/>
      <c r="I79" s="9">
        <f t="shared" si="1"/>
        <v>0</v>
      </c>
      <c r="J79" s="19"/>
      <c r="K79" s="19"/>
      <c r="L79" s="19"/>
      <c r="M79" s="19"/>
      <c r="N79" s="19"/>
    </row>
    <row r="80" spans="1:14" ht="21" customHeight="1">
      <c r="A80" s="27"/>
      <c r="B80" s="26" t="s">
        <v>173</v>
      </c>
      <c r="C80" s="26" t="s">
        <v>333</v>
      </c>
      <c r="D80" s="12">
        <v>60006586696</v>
      </c>
      <c r="E80" s="30" t="s">
        <v>174</v>
      </c>
      <c r="F80" s="8">
        <f>210.07/2</f>
        <v>105.035</v>
      </c>
      <c r="G80" s="8">
        <f>6.21/2</f>
        <v>3.105</v>
      </c>
      <c r="H80" s="8">
        <f>0.22/2</f>
        <v>0.11</v>
      </c>
      <c r="I80" s="9">
        <f t="shared" si="1"/>
        <v>108.25</v>
      </c>
      <c r="J80" s="19"/>
      <c r="K80" s="19"/>
      <c r="L80" s="19"/>
      <c r="M80" s="19"/>
      <c r="N80" s="19"/>
    </row>
    <row r="81" spans="1:14" s="20" customFormat="1" ht="21" customHeight="1">
      <c r="A81" s="27"/>
      <c r="B81" s="26" t="s">
        <v>175</v>
      </c>
      <c r="C81" s="93"/>
      <c r="D81" s="17">
        <v>60006586704</v>
      </c>
      <c r="E81" s="31" t="s">
        <v>176</v>
      </c>
      <c r="F81" s="18">
        <f>29.46/2</f>
        <v>14.73</v>
      </c>
      <c r="G81" s="18">
        <f>0.85/2</f>
        <v>0.425</v>
      </c>
      <c r="H81" s="18">
        <f>0.08/2</f>
        <v>0.04</v>
      </c>
      <c r="I81" s="9">
        <f t="shared" si="1"/>
        <v>15.195</v>
      </c>
      <c r="J81" s="19"/>
      <c r="K81" s="19"/>
      <c r="L81" s="19"/>
      <c r="M81" s="19"/>
      <c r="N81" s="19"/>
    </row>
    <row r="82" spans="1:14" s="29" customFormat="1" ht="21" customHeight="1">
      <c r="A82" s="27"/>
      <c r="B82" s="26" t="s">
        <v>177</v>
      </c>
      <c r="C82" s="26" t="s">
        <v>370</v>
      </c>
      <c r="D82" s="12">
        <v>60006587652</v>
      </c>
      <c r="E82" s="33" t="s">
        <v>178</v>
      </c>
      <c r="F82" s="15">
        <f>190.67/2</f>
        <v>95.335</v>
      </c>
      <c r="G82" s="15">
        <f>5.63/2</f>
        <v>2.815</v>
      </c>
      <c r="H82" s="15">
        <f>0.22/2</f>
        <v>0.11</v>
      </c>
      <c r="I82" s="9">
        <f t="shared" si="1"/>
        <v>98.25999999999999</v>
      </c>
      <c r="J82" s="19"/>
      <c r="K82" s="19"/>
      <c r="L82" s="19"/>
      <c r="M82" s="19"/>
      <c r="N82" s="19"/>
    </row>
    <row r="83" spans="1:9" ht="21" customHeight="1">
      <c r="A83" s="27"/>
      <c r="B83" s="26" t="s">
        <v>179</v>
      </c>
      <c r="C83" s="26" t="s">
        <v>334</v>
      </c>
      <c r="D83" s="12">
        <v>60006587671</v>
      </c>
      <c r="E83" s="30" t="s">
        <v>180</v>
      </c>
      <c r="F83" s="8">
        <f>159.71/2</f>
        <v>79.855</v>
      </c>
      <c r="G83" s="8">
        <f>4.7/2</f>
        <v>2.35</v>
      </c>
      <c r="H83" s="8">
        <f>0.22/2</f>
        <v>0.11</v>
      </c>
      <c r="I83" s="9">
        <f t="shared" si="1"/>
        <v>82.315</v>
      </c>
    </row>
    <row r="84" spans="1:9" ht="21" customHeight="1">
      <c r="A84" s="27"/>
      <c r="B84" s="26" t="s">
        <v>181</v>
      </c>
      <c r="C84" s="26" t="s">
        <v>335</v>
      </c>
      <c r="D84" s="12">
        <v>60006593566</v>
      </c>
      <c r="E84" s="30" t="s">
        <v>182</v>
      </c>
      <c r="F84" s="8">
        <f>125.71/2</f>
        <v>62.855</v>
      </c>
      <c r="G84" s="8">
        <f>3.74/2</f>
        <v>1.87</v>
      </c>
      <c r="H84" s="8">
        <f>0.08/2</f>
        <v>0.04</v>
      </c>
      <c r="I84" s="9">
        <f t="shared" si="1"/>
        <v>64.765</v>
      </c>
    </row>
    <row r="85" spans="1:9" ht="21" customHeight="1">
      <c r="A85" s="27"/>
      <c r="B85" s="26" t="s">
        <v>183</v>
      </c>
      <c r="C85" s="26" t="s">
        <v>336</v>
      </c>
      <c r="D85" s="12">
        <v>60006601563</v>
      </c>
      <c r="E85" s="30" t="s">
        <v>184</v>
      </c>
      <c r="F85" s="8">
        <f>135.47/2</f>
        <v>67.735</v>
      </c>
      <c r="G85" s="8">
        <f>4.06/2</f>
        <v>2.03</v>
      </c>
      <c r="H85" s="8">
        <v>0</v>
      </c>
      <c r="I85" s="9">
        <f t="shared" si="1"/>
        <v>69.765</v>
      </c>
    </row>
    <row r="86" spans="1:9" ht="21" customHeight="1">
      <c r="A86" s="27"/>
      <c r="B86" s="26" t="s">
        <v>185</v>
      </c>
      <c r="C86" s="26" t="s">
        <v>310</v>
      </c>
      <c r="D86" s="12">
        <v>60006630551</v>
      </c>
      <c r="E86" s="30" t="s">
        <v>186</v>
      </c>
      <c r="F86" s="8">
        <f>224.61/2</f>
        <v>112.305</v>
      </c>
      <c r="G86" s="8">
        <f>6.65/2</f>
        <v>3.325</v>
      </c>
      <c r="H86" s="8">
        <f>0.21/2</f>
        <v>0.105</v>
      </c>
      <c r="I86" s="9">
        <f t="shared" si="1"/>
        <v>115.73500000000001</v>
      </c>
    </row>
    <row r="87" spans="1:9" ht="21" customHeight="1">
      <c r="A87" s="27"/>
      <c r="B87" s="26" t="s">
        <v>187</v>
      </c>
      <c r="C87" s="26" t="s">
        <v>287</v>
      </c>
      <c r="D87" s="12">
        <v>60006631759</v>
      </c>
      <c r="E87" s="30" t="s">
        <v>188</v>
      </c>
      <c r="F87" s="8">
        <f>93.65/2</f>
        <v>46.825</v>
      </c>
      <c r="G87" s="8">
        <f>2.78/2</f>
        <v>1.39</v>
      </c>
      <c r="H87" s="8">
        <f>0.08/2</f>
        <v>0.04</v>
      </c>
      <c r="I87" s="9">
        <f t="shared" si="1"/>
        <v>48.255</v>
      </c>
    </row>
    <row r="88" spans="1:9" ht="21" customHeight="1">
      <c r="A88" s="27"/>
      <c r="B88" s="26" t="s">
        <v>189</v>
      </c>
      <c r="C88" s="26" t="s">
        <v>339</v>
      </c>
      <c r="D88" s="12">
        <v>60006631974</v>
      </c>
      <c r="E88" s="30" t="s">
        <v>190</v>
      </c>
      <c r="F88" s="8">
        <f>980.3/3</f>
        <v>326.76666666666665</v>
      </c>
      <c r="G88" s="8">
        <f>29.36/3</f>
        <v>9.786666666666667</v>
      </c>
      <c r="H88" s="8">
        <f>0.12/3</f>
        <v>0.04</v>
      </c>
      <c r="I88" s="9">
        <f t="shared" si="1"/>
        <v>336.59333333333336</v>
      </c>
    </row>
    <row r="89" spans="1:9" ht="21" customHeight="1">
      <c r="A89" s="27"/>
      <c r="B89" s="26" t="s">
        <v>191</v>
      </c>
      <c r="C89" s="26" t="s">
        <v>356</v>
      </c>
      <c r="D89" s="12">
        <v>60007843337</v>
      </c>
      <c r="E89" s="30" t="s">
        <v>192</v>
      </c>
      <c r="F89" s="8">
        <f>157.62/2</f>
        <v>78.81</v>
      </c>
      <c r="G89" s="8">
        <f>4.7/2</f>
        <v>2.35</v>
      </c>
      <c r="H89" s="8">
        <f>0.08/2</f>
        <v>0.04</v>
      </c>
      <c r="I89" s="9">
        <f t="shared" si="1"/>
        <v>81.2</v>
      </c>
    </row>
    <row r="90" spans="1:9" ht="21" customHeight="1">
      <c r="A90" s="27"/>
      <c r="B90" s="26" t="s">
        <v>193</v>
      </c>
      <c r="C90" s="26" t="s">
        <v>305</v>
      </c>
      <c r="D90" s="12">
        <v>60006631992</v>
      </c>
      <c r="E90" s="30" t="s">
        <v>194</v>
      </c>
      <c r="F90" s="8"/>
      <c r="G90" s="8"/>
      <c r="H90" s="8"/>
      <c r="I90" s="9">
        <f t="shared" si="1"/>
        <v>0</v>
      </c>
    </row>
    <row r="91" spans="1:9" ht="21" customHeight="1">
      <c r="A91" s="27"/>
      <c r="B91" s="26" t="s">
        <v>195</v>
      </c>
      <c r="C91" s="26" t="s">
        <v>341</v>
      </c>
      <c r="D91" s="12">
        <v>60006632013</v>
      </c>
      <c r="E91" s="30" t="s">
        <v>196</v>
      </c>
      <c r="F91" s="8">
        <f>40.14/2</f>
        <v>20.07</v>
      </c>
      <c r="G91" s="8">
        <f>1.17/2</f>
        <v>0.585</v>
      </c>
      <c r="H91" s="8">
        <f>0.08/2</f>
        <v>0.04</v>
      </c>
      <c r="I91" s="9">
        <f t="shared" si="1"/>
        <v>20.695</v>
      </c>
    </row>
    <row r="92" spans="1:9" ht="21" customHeight="1">
      <c r="A92" s="27"/>
      <c r="B92" s="26" t="s">
        <v>197</v>
      </c>
      <c r="C92" s="26" t="s">
        <v>288</v>
      </c>
      <c r="D92" s="12">
        <v>60006632028</v>
      </c>
      <c r="E92" s="30" t="s">
        <v>198</v>
      </c>
      <c r="F92" s="8">
        <f>347.95/2</f>
        <v>173.975</v>
      </c>
      <c r="G92" s="8">
        <f>10.34/2</f>
        <v>5.17</v>
      </c>
      <c r="H92" s="8">
        <f>0.22/2</f>
        <v>0.11</v>
      </c>
      <c r="I92" s="9">
        <f t="shared" si="1"/>
        <v>179.255</v>
      </c>
    </row>
    <row r="93" spans="1:9" ht="21" customHeight="1">
      <c r="A93" s="27"/>
      <c r="B93" s="26" t="s">
        <v>199</v>
      </c>
      <c r="C93" s="26" t="s">
        <v>342</v>
      </c>
      <c r="D93" s="12">
        <v>60006632034</v>
      </c>
      <c r="E93" s="30" t="s">
        <v>200</v>
      </c>
      <c r="F93" s="8">
        <f>64.85/2</f>
        <v>32.425</v>
      </c>
      <c r="G93" s="8">
        <f>1.91/2</f>
        <v>0.955</v>
      </c>
      <c r="H93" s="8">
        <f>0.08/2</f>
        <v>0.04</v>
      </c>
      <c r="I93" s="9">
        <f t="shared" si="1"/>
        <v>33.419999999999995</v>
      </c>
    </row>
    <row r="94" spans="1:9" ht="21" customHeight="1">
      <c r="A94" s="27"/>
      <c r="B94" s="26" t="s">
        <v>201</v>
      </c>
      <c r="C94" s="26" t="s">
        <v>343</v>
      </c>
      <c r="D94" s="12">
        <v>60006637176</v>
      </c>
      <c r="E94" s="30" t="s">
        <v>202</v>
      </c>
      <c r="F94" s="8">
        <f>78.34/2</f>
        <v>39.17</v>
      </c>
      <c r="G94" s="8">
        <f>2.35/2</f>
        <v>1.175</v>
      </c>
      <c r="H94" s="8">
        <v>0</v>
      </c>
      <c r="I94" s="9">
        <f t="shared" si="1"/>
        <v>40.345</v>
      </c>
    </row>
    <row r="95" spans="1:9" ht="21" customHeight="1">
      <c r="A95" s="27"/>
      <c r="B95" s="26" t="s">
        <v>203</v>
      </c>
      <c r="C95" s="93"/>
      <c r="D95" s="12">
        <v>60006637235</v>
      </c>
      <c r="E95" s="30" t="s">
        <v>204</v>
      </c>
      <c r="F95" s="8">
        <f>28.78/2</f>
        <v>14.39</v>
      </c>
      <c r="G95" s="8">
        <f>0.83/2</f>
        <v>0.415</v>
      </c>
      <c r="H95" s="8">
        <f>0.07/2</f>
        <v>0.035</v>
      </c>
      <c r="I95" s="9">
        <f t="shared" si="1"/>
        <v>14.84</v>
      </c>
    </row>
    <row r="96" spans="1:9" ht="21" customHeight="1">
      <c r="A96" s="27"/>
      <c r="B96" s="26" t="s">
        <v>205</v>
      </c>
      <c r="C96" s="26" t="s">
        <v>306</v>
      </c>
      <c r="D96" s="12">
        <v>60006637714</v>
      </c>
      <c r="E96" s="30" t="s">
        <v>206</v>
      </c>
      <c r="F96" s="8">
        <f>74.02/2</f>
        <v>37.01</v>
      </c>
      <c r="G96" s="8">
        <f>2.13/2</f>
        <v>1.065</v>
      </c>
      <c r="H96" s="8">
        <f>0.22/2</f>
        <v>0.11</v>
      </c>
      <c r="I96" s="9">
        <f t="shared" si="1"/>
        <v>38.184999999999995</v>
      </c>
    </row>
    <row r="97" spans="1:9" ht="21" customHeight="1">
      <c r="A97" s="27"/>
      <c r="B97" s="26" t="s">
        <v>207</v>
      </c>
      <c r="C97" s="93"/>
      <c r="D97" s="12">
        <v>60006642108</v>
      </c>
      <c r="E97" s="30" t="s">
        <v>208</v>
      </c>
      <c r="F97" s="8">
        <f>28.78/2</f>
        <v>14.39</v>
      </c>
      <c r="G97" s="8">
        <f>0.83/2</f>
        <v>0.415</v>
      </c>
      <c r="H97" s="8">
        <f>0.07/2</f>
        <v>0.035</v>
      </c>
      <c r="I97" s="9">
        <f t="shared" si="1"/>
        <v>14.84</v>
      </c>
    </row>
    <row r="98" spans="1:9" ht="21" customHeight="1">
      <c r="A98" s="27"/>
      <c r="B98" s="26" t="s">
        <v>209</v>
      </c>
      <c r="C98" s="93"/>
      <c r="D98" s="12">
        <v>60006642114</v>
      </c>
      <c r="E98" s="30" t="s">
        <v>210</v>
      </c>
      <c r="F98" s="8">
        <f>28.78/2</f>
        <v>14.39</v>
      </c>
      <c r="G98" s="8">
        <f>0.83/2</f>
        <v>0.415</v>
      </c>
      <c r="H98" s="8">
        <f>0.07/2</f>
        <v>0.035</v>
      </c>
      <c r="I98" s="9">
        <f t="shared" si="1"/>
        <v>14.84</v>
      </c>
    </row>
    <row r="99" spans="1:9" ht="21" customHeight="1">
      <c r="A99" s="27"/>
      <c r="B99" s="26" t="s">
        <v>211</v>
      </c>
      <c r="C99" s="26" t="s">
        <v>290</v>
      </c>
      <c r="D99" s="12">
        <v>60006644426</v>
      </c>
      <c r="E99" s="30" t="s">
        <v>212</v>
      </c>
      <c r="F99" s="8"/>
      <c r="G99" s="8"/>
      <c r="H99" s="8"/>
      <c r="I99" s="9">
        <f t="shared" si="1"/>
        <v>0</v>
      </c>
    </row>
    <row r="100" spans="1:9" ht="21" customHeight="1">
      <c r="A100" s="27"/>
      <c r="B100" s="26" t="s">
        <v>213</v>
      </c>
      <c r="C100" s="93"/>
      <c r="D100" s="12">
        <v>60006644431</v>
      </c>
      <c r="E100" s="30" t="s">
        <v>214</v>
      </c>
      <c r="F100" s="8"/>
      <c r="G100" s="8"/>
      <c r="H100" s="8"/>
      <c r="I100" s="9">
        <f t="shared" si="1"/>
        <v>0</v>
      </c>
    </row>
    <row r="101" spans="1:9" ht="21" customHeight="1">
      <c r="A101" s="27"/>
      <c r="B101" s="26" t="s">
        <v>215</v>
      </c>
      <c r="C101" s="26" t="s">
        <v>344</v>
      </c>
      <c r="D101" s="12">
        <v>60006644654</v>
      </c>
      <c r="E101" s="30" t="s">
        <v>216</v>
      </c>
      <c r="F101" s="18">
        <f>50.6/2</f>
        <v>25.3</v>
      </c>
      <c r="G101" s="18">
        <f>1.48/2</f>
        <v>0.74</v>
      </c>
      <c r="H101" s="18">
        <f>0.08/2</f>
        <v>0.04</v>
      </c>
      <c r="I101" s="87">
        <f t="shared" si="1"/>
        <v>26.08</v>
      </c>
    </row>
    <row r="102" spans="1:9" ht="21" customHeight="1">
      <c r="A102" s="27"/>
      <c r="B102" s="26" t="s">
        <v>217</v>
      </c>
      <c r="C102" s="93"/>
      <c r="D102" s="12">
        <v>60007182237</v>
      </c>
      <c r="E102" s="30" t="s">
        <v>218</v>
      </c>
      <c r="F102" s="8"/>
      <c r="G102" s="8"/>
      <c r="H102" s="8"/>
      <c r="I102" s="9">
        <f t="shared" si="1"/>
        <v>0</v>
      </c>
    </row>
    <row r="103" spans="1:9" ht="21" customHeight="1">
      <c r="A103" s="27"/>
      <c r="B103" s="26" t="s">
        <v>219</v>
      </c>
      <c r="C103" s="26" t="s">
        <v>354</v>
      </c>
      <c r="D103" s="12">
        <v>60007843211</v>
      </c>
      <c r="E103" s="30" t="s">
        <v>220</v>
      </c>
      <c r="F103" s="8"/>
      <c r="G103" s="8"/>
      <c r="H103" s="8"/>
      <c r="I103" s="9">
        <f t="shared" si="1"/>
        <v>0</v>
      </c>
    </row>
    <row r="104" spans="1:9" ht="21" customHeight="1">
      <c r="A104" s="27"/>
      <c r="B104" s="26" t="s">
        <v>221</v>
      </c>
      <c r="C104" s="26" t="s">
        <v>355</v>
      </c>
      <c r="D104" s="12">
        <v>60007843225</v>
      </c>
      <c r="E104" s="30" t="s">
        <v>222</v>
      </c>
      <c r="F104" s="8"/>
      <c r="G104" s="8"/>
      <c r="H104" s="8"/>
      <c r="I104" s="9">
        <f t="shared" si="1"/>
        <v>0</v>
      </c>
    </row>
    <row r="105" spans="1:9" ht="21" customHeight="1">
      <c r="A105" s="27"/>
      <c r="B105" s="26" t="s">
        <v>223</v>
      </c>
      <c r="C105" s="26" t="s">
        <v>347</v>
      </c>
      <c r="D105" s="12">
        <v>60007211343</v>
      </c>
      <c r="E105" s="30" t="s">
        <v>224</v>
      </c>
      <c r="F105" s="8">
        <f>10.89/2</f>
        <v>5.445</v>
      </c>
      <c r="G105" s="8">
        <f>0.33/2</f>
        <v>0.165</v>
      </c>
      <c r="H105" s="8">
        <v>0</v>
      </c>
      <c r="I105" s="9">
        <f t="shared" si="1"/>
        <v>5.61</v>
      </c>
    </row>
    <row r="106" spans="1:9" ht="21" customHeight="1">
      <c r="A106" s="27"/>
      <c r="B106" s="26" t="s">
        <v>225</v>
      </c>
      <c r="C106" s="26" t="s">
        <v>346</v>
      </c>
      <c r="D106" s="12">
        <v>60007211339</v>
      </c>
      <c r="E106" s="30" t="s">
        <v>226</v>
      </c>
      <c r="F106" s="8">
        <f>115.42/2</f>
        <v>57.71</v>
      </c>
      <c r="G106" s="8">
        <f>3.37/2</f>
        <v>1.685</v>
      </c>
      <c r="H106" s="8">
        <f>0.22/2</f>
        <v>0.11</v>
      </c>
      <c r="I106" s="9">
        <f t="shared" si="1"/>
        <v>59.505</v>
      </c>
    </row>
    <row r="107" spans="1:9" ht="21" customHeight="1">
      <c r="A107" s="27"/>
      <c r="B107" s="26" t="s">
        <v>227</v>
      </c>
      <c r="C107" s="26" t="s">
        <v>291</v>
      </c>
      <c r="D107" s="12">
        <v>60007239731</v>
      </c>
      <c r="E107" s="30" t="s">
        <v>228</v>
      </c>
      <c r="F107" s="8">
        <f>185.39/2</f>
        <v>92.695</v>
      </c>
      <c r="G107" s="8">
        <f>5.53/2</f>
        <v>2.765</v>
      </c>
      <c r="H107" s="8">
        <f>0.08/2</f>
        <v>0.04</v>
      </c>
      <c r="I107" s="9">
        <f t="shared" si="1"/>
        <v>95.5</v>
      </c>
    </row>
    <row r="108" spans="1:9" ht="21" customHeight="1">
      <c r="A108" s="27"/>
      <c r="B108" s="26" t="s">
        <v>229</v>
      </c>
      <c r="C108" s="26" t="s">
        <v>348</v>
      </c>
      <c r="D108" s="12">
        <v>60007483419</v>
      </c>
      <c r="E108" s="30" t="s">
        <v>230</v>
      </c>
      <c r="F108" s="8">
        <f>47.77/2</f>
        <v>23.885</v>
      </c>
      <c r="G108" s="8">
        <f>1.4/2</f>
        <v>0.7</v>
      </c>
      <c r="H108" s="8">
        <f>0.08/2</f>
        <v>0.04</v>
      </c>
      <c r="I108" s="9">
        <f t="shared" si="1"/>
        <v>24.625</v>
      </c>
    </row>
    <row r="109" spans="1:9" ht="21" customHeight="1">
      <c r="A109" s="27"/>
      <c r="B109" s="26" t="s">
        <v>231</v>
      </c>
      <c r="C109" s="26" t="s">
        <v>301</v>
      </c>
      <c r="D109" s="12">
        <v>60006579638</v>
      </c>
      <c r="E109" s="30" t="s">
        <v>232</v>
      </c>
      <c r="F109" s="8"/>
      <c r="G109" s="8"/>
      <c r="H109" s="8"/>
      <c r="I109" s="9">
        <f t="shared" si="1"/>
        <v>0</v>
      </c>
    </row>
    <row r="110" spans="1:9" ht="21" customHeight="1">
      <c r="A110" s="27"/>
      <c r="B110" s="26" t="s">
        <v>233</v>
      </c>
      <c r="C110" s="26" t="s">
        <v>349</v>
      </c>
      <c r="D110" s="12">
        <v>60006579657</v>
      </c>
      <c r="E110" s="30" t="s">
        <v>234</v>
      </c>
      <c r="F110" s="8"/>
      <c r="G110" s="8"/>
      <c r="H110" s="8"/>
      <c r="I110" s="9">
        <f t="shared" si="1"/>
        <v>0</v>
      </c>
    </row>
    <row r="111" spans="1:9" ht="21" customHeight="1">
      <c r="A111" s="27"/>
      <c r="B111" s="26" t="s">
        <v>235</v>
      </c>
      <c r="C111" s="93"/>
      <c r="D111" s="12">
        <v>60006579676</v>
      </c>
      <c r="E111" s="30" t="s">
        <v>236</v>
      </c>
      <c r="F111" s="8"/>
      <c r="G111" s="8"/>
      <c r="H111" s="8"/>
      <c r="I111" s="9">
        <f t="shared" si="1"/>
        <v>0</v>
      </c>
    </row>
    <row r="112" spans="1:9" ht="21" customHeight="1">
      <c r="A112" s="27"/>
      <c r="B112" s="26" t="s">
        <v>237</v>
      </c>
      <c r="C112" s="26" t="s">
        <v>351</v>
      </c>
      <c r="D112" s="12">
        <v>60007631681</v>
      </c>
      <c r="E112" s="30" t="s">
        <v>238</v>
      </c>
      <c r="F112" s="8"/>
      <c r="G112" s="8"/>
      <c r="H112" s="8"/>
      <c r="I112" s="9">
        <f t="shared" si="1"/>
        <v>0</v>
      </c>
    </row>
    <row r="113" spans="1:9" ht="21" customHeight="1">
      <c r="A113" s="27"/>
      <c r="B113" s="26" t="s">
        <v>239</v>
      </c>
      <c r="C113" s="26" t="s">
        <v>357</v>
      </c>
      <c r="D113" s="12">
        <v>60007848373</v>
      </c>
      <c r="E113" s="30" t="s">
        <v>240</v>
      </c>
      <c r="F113" s="8">
        <f>311.33/2</f>
        <v>155.665</v>
      </c>
      <c r="G113" s="8">
        <f>9.25/2</f>
        <v>4.625</v>
      </c>
      <c r="H113" s="8">
        <f>0.22/2</f>
        <v>0.11</v>
      </c>
      <c r="I113" s="9">
        <f t="shared" si="1"/>
        <v>160.4</v>
      </c>
    </row>
    <row r="114" spans="1:9" ht="21" customHeight="1">
      <c r="A114" s="27"/>
      <c r="B114" s="26" t="s">
        <v>241</v>
      </c>
      <c r="C114" s="26" t="s">
        <v>338</v>
      </c>
      <c r="D114" s="12">
        <v>60006631880</v>
      </c>
      <c r="E114" s="30" t="s">
        <v>242</v>
      </c>
      <c r="F114" s="8">
        <f>39.59/2</f>
        <v>19.795</v>
      </c>
      <c r="G114" s="8">
        <f>1.16/2</f>
        <v>0.58</v>
      </c>
      <c r="H114" s="8">
        <f>0.08/2</f>
        <v>0.04</v>
      </c>
      <c r="I114" s="9">
        <f t="shared" si="1"/>
        <v>20.415</v>
      </c>
    </row>
    <row r="115" spans="1:9" ht="21" customHeight="1">
      <c r="A115" s="27"/>
      <c r="B115" s="26" t="s">
        <v>243</v>
      </c>
      <c r="C115" s="26" t="s">
        <v>320</v>
      </c>
      <c r="D115" s="12">
        <v>60006631920</v>
      </c>
      <c r="E115" s="30" t="s">
        <v>244</v>
      </c>
      <c r="F115" s="8">
        <f>79.7/2</f>
        <v>39.85</v>
      </c>
      <c r="G115" s="8">
        <f>2.3/2</f>
        <v>1.15</v>
      </c>
      <c r="H115" s="8">
        <f>0.21/2</f>
        <v>0.105</v>
      </c>
      <c r="I115" s="9">
        <f t="shared" si="1"/>
        <v>41.105</v>
      </c>
    </row>
    <row r="116" spans="1:9" ht="21" customHeight="1">
      <c r="A116" s="27"/>
      <c r="B116" s="26" t="s">
        <v>245</v>
      </c>
      <c r="C116" s="26" t="s">
        <v>340</v>
      </c>
      <c r="D116" s="12">
        <v>60006631987</v>
      </c>
      <c r="E116" s="30" t="s">
        <v>246</v>
      </c>
      <c r="F116" s="8">
        <f>519.25/2</f>
        <v>259.625</v>
      </c>
      <c r="G116" s="8">
        <f>15.49/2</f>
        <v>7.745</v>
      </c>
      <c r="H116" s="8">
        <f>0.21/2</f>
        <v>0.105</v>
      </c>
      <c r="I116" s="9">
        <f t="shared" si="1"/>
        <v>267.475</v>
      </c>
    </row>
    <row r="117" spans="1:9" ht="21" customHeight="1">
      <c r="A117" s="27"/>
      <c r="B117" s="26" t="s">
        <v>247</v>
      </c>
      <c r="C117" s="26" t="s">
        <v>373</v>
      </c>
      <c r="D117" s="12">
        <v>60006632009</v>
      </c>
      <c r="E117" s="30" t="s">
        <v>248</v>
      </c>
      <c r="F117" s="8">
        <f>508.35/2</f>
        <v>254.175</v>
      </c>
      <c r="G117" s="8">
        <f>15.16/2</f>
        <v>7.58</v>
      </c>
      <c r="H117" s="8">
        <f>0.21/2</f>
        <v>0.105</v>
      </c>
      <c r="I117" s="9">
        <f t="shared" si="1"/>
        <v>261.86</v>
      </c>
    </row>
    <row r="118" spans="1:9" ht="21" customHeight="1">
      <c r="A118" s="27"/>
      <c r="B118" s="26" t="s">
        <v>249</v>
      </c>
      <c r="C118" s="26" t="s">
        <v>350</v>
      </c>
      <c r="D118" s="12">
        <v>60007611240</v>
      </c>
      <c r="E118" s="30" t="s">
        <v>250</v>
      </c>
      <c r="F118" s="8">
        <f>501.77/2</f>
        <v>250.885</v>
      </c>
      <c r="G118" s="8">
        <f>15.02/2</f>
        <v>7.51</v>
      </c>
      <c r="H118" s="8">
        <f>0.08/2</f>
        <v>0.04</v>
      </c>
      <c r="I118" s="9">
        <f t="shared" si="1"/>
        <v>258.435</v>
      </c>
    </row>
    <row r="119" spans="1:9" ht="21" customHeight="1">
      <c r="A119" s="27"/>
      <c r="B119" s="26" t="s">
        <v>251</v>
      </c>
      <c r="C119" s="26" t="s">
        <v>337</v>
      </c>
      <c r="D119" s="12">
        <v>60006613294</v>
      </c>
      <c r="E119" s="30" t="s">
        <v>252</v>
      </c>
      <c r="F119" s="8">
        <f>105.33/2</f>
        <v>52.665</v>
      </c>
      <c r="G119" s="8">
        <f>3.16/2</f>
        <v>1.58</v>
      </c>
      <c r="H119" s="8">
        <v>0</v>
      </c>
      <c r="I119" s="9">
        <f t="shared" si="1"/>
        <v>54.245</v>
      </c>
    </row>
    <row r="120" spans="1:9" ht="21" customHeight="1">
      <c r="A120" s="27"/>
      <c r="B120" s="26" t="s">
        <v>253</v>
      </c>
      <c r="C120" s="26" t="s">
        <v>303</v>
      </c>
      <c r="D120" s="12">
        <v>60006631725</v>
      </c>
      <c r="E120" s="30" t="s">
        <v>254</v>
      </c>
      <c r="F120" s="8">
        <f>175.03/2</f>
        <v>87.515</v>
      </c>
      <c r="G120" s="8">
        <f>5.22/2</f>
        <v>2.61</v>
      </c>
      <c r="H120" s="8">
        <f>0.07/2</f>
        <v>0.035</v>
      </c>
      <c r="I120" s="9">
        <f aca="true" t="shared" si="2" ref="I120:I130">SUM(F120:H120)</f>
        <v>90.16</v>
      </c>
    </row>
    <row r="121" spans="1:9" ht="21" customHeight="1">
      <c r="A121" s="27"/>
      <c r="B121" s="26" t="s">
        <v>255</v>
      </c>
      <c r="C121" s="26" t="s">
        <v>304</v>
      </c>
      <c r="D121" s="12">
        <v>60006631818</v>
      </c>
      <c r="E121" s="30" t="s">
        <v>256</v>
      </c>
      <c r="F121" s="8"/>
      <c r="G121" s="8"/>
      <c r="H121" s="8"/>
      <c r="I121" s="9">
        <f t="shared" si="2"/>
        <v>0</v>
      </c>
    </row>
    <row r="122" spans="1:9" ht="21" customHeight="1">
      <c r="A122" s="28"/>
      <c r="B122" s="25" t="s">
        <v>257</v>
      </c>
      <c r="C122" s="95"/>
      <c r="D122" s="14">
        <v>60006631824</v>
      </c>
      <c r="E122" s="45" t="s">
        <v>258</v>
      </c>
      <c r="F122" s="15">
        <f>1115.99*0.5</f>
        <v>557.995</v>
      </c>
      <c r="G122" s="15">
        <f>33.4*0.5</f>
        <v>16.7</v>
      </c>
      <c r="H122" s="15">
        <f>0.2*0.5</f>
        <v>0.1</v>
      </c>
      <c r="I122" s="9">
        <f t="shared" si="2"/>
        <v>574.7950000000001</v>
      </c>
    </row>
    <row r="123" spans="1:9" ht="21" customHeight="1">
      <c r="A123" s="28"/>
      <c r="B123" s="25" t="s">
        <v>259</v>
      </c>
      <c r="C123" s="25" t="s">
        <v>345</v>
      </c>
      <c r="D123" s="14">
        <v>60006872372</v>
      </c>
      <c r="E123" s="45" t="s">
        <v>260</v>
      </c>
      <c r="F123" s="15"/>
      <c r="G123" s="15"/>
      <c r="H123" s="15"/>
      <c r="I123" s="9">
        <f t="shared" si="2"/>
        <v>0</v>
      </c>
    </row>
    <row r="124" spans="1:9" ht="21" customHeight="1">
      <c r="A124" s="28"/>
      <c r="B124" s="25" t="s">
        <v>261</v>
      </c>
      <c r="C124" s="25" t="s">
        <v>321</v>
      </c>
      <c r="D124" s="14">
        <v>60006974384</v>
      </c>
      <c r="E124" s="45" t="s">
        <v>262</v>
      </c>
      <c r="F124" s="15">
        <f>139.74/2</f>
        <v>69.87</v>
      </c>
      <c r="G124" s="15">
        <f>4.16/2</f>
        <v>2.08</v>
      </c>
      <c r="H124" s="15">
        <f>0.08/2</f>
        <v>0.04</v>
      </c>
      <c r="I124" s="9">
        <f t="shared" si="2"/>
        <v>71.99000000000001</v>
      </c>
    </row>
    <row r="125" spans="1:9" ht="21" customHeight="1">
      <c r="A125" s="28"/>
      <c r="B125" s="25" t="s">
        <v>263</v>
      </c>
      <c r="C125" s="25" t="s">
        <v>368</v>
      </c>
      <c r="D125" s="14">
        <v>60006581324</v>
      </c>
      <c r="E125" s="45" t="s">
        <v>264</v>
      </c>
      <c r="F125" s="15"/>
      <c r="G125" s="15"/>
      <c r="H125" s="15"/>
      <c r="I125" s="9">
        <f t="shared" si="2"/>
        <v>0</v>
      </c>
    </row>
    <row r="126" spans="1:9" ht="21" customHeight="1">
      <c r="A126" s="28"/>
      <c r="B126" s="25" t="s">
        <v>265</v>
      </c>
      <c r="C126" s="25" t="s">
        <v>352</v>
      </c>
      <c r="D126" s="14">
        <v>60007651627</v>
      </c>
      <c r="E126" s="45" t="s">
        <v>266</v>
      </c>
      <c r="F126" s="15"/>
      <c r="G126" s="15"/>
      <c r="H126" s="15"/>
      <c r="I126" s="9">
        <f t="shared" si="2"/>
        <v>0</v>
      </c>
    </row>
    <row r="127" spans="1:9" ht="21" customHeight="1">
      <c r="A127" s="28"/>
      <c r="B127" s="25" t="s">
        <v>267</v>
      </c>
      <c r="C127" s="95"/>
      <c r="D127" s="14">
        <v>83007351147</v>
      </c>
      <c r="E127" s="45" t="s">
        <v>268</v>
      </c>
      <c r="F127" s="15"/>
      <c r="G127" s="15"/>
      <c r="H127" s="15"/>
      <c r="I127" s="9">
        <f t="shared" si="2"/>
        <v>0</v>
      </c>
    </row>
    <row r="128" spans="1:9" ht="21" customHeight="1">
      <c r="A128" s="28"/>
      <c r="B128" s="25" t="s">
        <v>269</v>
      </c>
      <c r="C128" s="25"/>
      <c r="D128" s="14">
        <v>83007705623</v>
      </c>
      <c r="E128" s="45" t="s">
        <v>270</v>
      </c>
      <c r="F128" s="15"/>
      <c r="G128" s="15"/>
      <c r="H128" s="15"/>
      <c r="I128" s="9">
        <f t="shared" si="2"/>
        <v>0</v>
      </c>
    </row>
    <row r="129" spans="1:9" ht="21" customHeight="1">
      <c r="A129" s="28"/>
      <c r="B129" s="25" t="s">
        <v>271</v>
      </c>
      <c r="C129" s="25"/>
      <c r="D129" s="14">
        <v>83007812488</v>
      </c>
      <c r="E129" s="45" t="s">
        <v>272</v>
      </c>
      <c r="F129" s="15"/>
      <c r="G129" s="15"/>
      <c r="H129" s="15"/>
      <c r="I129" s="9">
        <f t="shared" si="2"/>
        <v>0</v>
      </c>
    </row>
    <row r="130" spans="1:9" ht="21" customHeight="1">
      <c r="A130" s="28"/>
      <c r="B130" s="25" t="s">
        <v>273</v>
      </c>
      <c r="C130" s="25"/>
      <c r="D130" s="14">
        <v>83007946440</v>
      </c>
      <c r="E130" s="45" t="s">
        <v>274</v>
      </c>
      <c r="F130" s="15"/>
      <c r="G130" s="15"/>
      <c r="H130" s="15"/>
      <c r="I130" s="9">
        <f t="shared" si="2"/>
        <v>0</v>
      </c>
    </row>
    <row r="131" spans="1:9" ht="21" customHeight="1" thickBot="1">
      <c r="A131" s="10" t="s">
        <v>0</v>
      </c>
      <c r="B131" s="24"/>
      <c r="C131" s="24"/>
      <c r="D131" s="13"/>
      <c r="E131" s="13"/>
      <c r="F131" s="34"/>
      <c r="G131" s="34"/>
      <c r="H131" s="34"/>
      <c r="I131" s="38">
        <f>SUM(I8:I130)</f>
        <v>9628.023333333333</v>
      </c>
    </row>
    <row r="132" ht="13.5" thickTop="1"/>
  </sheetData>
  <sheetProtection/>
  <mergeCells count="3">
    <mergeCell ref="H3:I3"/>
    <mergeCell ref="G4:I4"/>
    <mergeCell ref="G2:I2"/>
  </mergeCells>
  <printOptions horizontalCentered="1"/>
  <pageMargins left="0.3937007874015748" right="0.3937007874015748" top="0.5905511811023623" bottom="0.5905511811023623" header="0" footer="0"/>
  <pageSetup fitToHeight="0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31"/>
  <sheetViews>
    <sheetView view="pageBreakPreview" zoomScale="80" zoomScaleSheetLayoutView="80" zoomScalePageLayoutView="0" workbookViewId="0" topLeftCell="A49">
      <selection activeCell="A54" sqref="A54:IV56"/>
    </sheetView>
  </sheetViews>
  <sheetFormatPr defaultColWidth="11.421875" defaultRowHeight="12.75"/>
  <cols>
    <col min="1" max="1" width="15.140625" style="1" customWidth="1"/>
    <col min="2" max="2" width="86.140625" style="21" customWidth="1"/>
    <col min="3" max="3" width="102.140625" style="21" customWidth="1"/>
    <col min="4" max="4" width="22.140625" style="1" customWidth="1"/>
    <col min="5" max="5" width="32.8515625" style="1" hidden="1" customWidth="1"/>
    <col min="6" max="6" width="22.57421875" style="2" customWidth="1"/>
    <col min="7" max="7" width="23.421875" style="2" customWidth="1"/>
    <col min="8" max="8" width="19.140625" style="2" customWidth="1"/>
    <col min="9" max="9" width="18.28125" style="50" bestFit="1" customWidth="1"/>
    <col min="10" max="10" width="11.421875" style="1" customWidth="1"/>
    <col min="11" max="11" width="11.57421875" style="1" bestFit="1" customWidth="1"/>
    <col min="12" max="16384" width="11.421875" style="1" customWidth="1"/>
  </cols>
  <sheetData>
    <row r="1" spans="1:9" ht="15.75" customHeight="1">
      <c r="A1" s="52"/>
      <c r="B1" s="54"/>
      <c r="C1" s="54"/>
      <c r="F1" s="52"/>
      <c r="G1" s="52"/>
      <c r="H1" s="52"/>
      <c r="I1" s="52"/>
    </row>
    <row r="2" spans="1:9" ht="42.75" customHeight="1">
      <c r="A2" s="52"/>
      <c r="B2" s="54"/>
      <c r="C2" s="54"/>
      <c r="F2" s="101" t="s">
        <v>116</v>
      </c>
      <c r="G2" s="101"/>
      <c r="H2" s="101"/>
      <c r="I2" s="101"/>
    </row>
    <row r="3" spans="1:9" ht="33.75" customHeight="1">
      <c r="A3" s="52"/>
      <c r="B3" s="54"/>
      <c r="C3" s="54"/>
      <c r="F3" s="52"/>
      <c r="G3" s="100"/>
      <c r="H3" s="100"/>
      <c r="I3" s="100"/>
    </row>
    <row r="4" spans="1:9" ht="21.75" customHeight="1">
      <c r="A4" s="52"/>
      <c r="B4" s="54"/>
      <c r="C4" s="54"/>
      <c r="F4" s="99" t="s">
        <v>113</v>
      </c>
      <c r="G4" s="99"/>
      <c r="H4" s="99"/>
      <c r="I4" s="99"/>
    </row>
    <row r="5" spans="1:9" ht="15.75" customHeight="1">
      <c r="A5" s="52"/>
      <c r="B5" s="54"/>
      <c r="C5" s="54"/>
      <c r="F5" s="52"/>
      <c r="G5" s="52"/>
      <c r="H5" s="52"/>
      <c r="I5" s="52"/>
    </row>
    <row r="6" spans="1:9" ht="15.75" customHeight="1" thickBot="1">
      <c r="A6" s="55"/>
      <c r="B6" s="56"/>
      <c r="C6" s="56"/>
      <c r="D6" s="3"/>
      <c r="E6" s="3"/>
      <c r="F6" s="55"/>
      <c r="G6" s="55"/>
      <c r="H6" s="55"/>
      <c r="I6" s="52"/>
    </row>
    <row r="7" spans="1:9" ht="21" customHeight="1" thickTop="1">
      <c r="A7" s="57" t="s">
        <v>1</v>
      </c>
      <c r="B7" s="58" t="s">
        <v>3</v>
      </c>
      <c r="C7" s="23" t="s">
        <v>285</v>
      </c>
      <c r="D7" s="11" t="s">
        <v>2</v>
      </c>
      <c r="E7" s="16" t="s">
        <v>11</v>
      </c>
      <c r="F7" s="59" t="s">
        <v>4</v>
      </c>
      <c r="G7" s="59" t="s">
        <v>5</v>
      </c>
      <c r="H7" s="73" t="s">
        <v>13</v>
      </c>
      <c r="I7" s="53" t="s">
        <v>0</v>
      </c>
    </row>
    <row r="8" spans="1:9" ht="21" customHeight="1">
      <c r="A8" s="60"/>
      <c r="B8" s="72" t="s">
        <v>15</v>
      </c>
      <c r="C8" s="72" t="s">
        <v>316</v>
      </c>
      <c r="D8" s="12">
        <v>83006884161</v>
      </c>
      <c r="E8" s="30" t="s">
        <v>16</v>
      </c>
      <c r="F8" s="46"/>
      <c r="G8" s="46"/>
      <c r="H8" s="74"/>
      <c r="I8" s="51">
        <f>F8+G8+H8</f>
        <v>0</v>
      </c>
    </row>
    <row r="9" spans="1:9" ht="21" customHeight="1">
      <c r="A9" s="60"/>
      <c r="B9" s="26" t="s">
        <v>17</v>
      </c>
      <c r="C9" s="26" t="s">
        <v>314</v>
      </c>
      <c r="D9" s="12">
        <v>83001699293</v>
      </c>
      <c r="E9" s="30" t="s">
        <v>19</v>
      </c>
      <c r="F9" s="46">
        <v>1026.5</v>
      </c>
      <c r="G9" s="46">
        <v>0</v>
      </c>
      <c r="H9" s="74">
        <v>0</v>
      </c>
      <c r="I9" s="51">
        <f aca="true" t="shared" si="0" ref="I9:I59">F9+G9+H9</f>
        <v>1026.5</v>
      </c>
    </row>
    <row r="10" spans="1:9" ht="21" customHeight="1">
      <c r="A10" s="60"/>
      <c r="B10" s="26" t="s">
        <v>18</v>
      </c>
      <c r="C10" s="26" t="s">
        <v>324</v>
      </c>
      <c r="D10" s="12">
        <v>83002793469</v>
      </c>
      <c r="E10" s="30" t="s">
        <v>20</v>
      </c>
      <c r="F10" s="46"/>
      <c r="G10" s="46"/>
      <c r="H10" s="74"/>
      <c r="I10" s="51">
        <f t="shared" si="0"/>
        <v>0</v>
      </c>
    </row>
    <row r="11" spans="1:9" ht="21" customHeight="1">
      <c r="A11" s="60"/>
      <c r="B11" s="26" t="s">
        <v>21</v>
      </c>
      <c r="C11" s="26" t="s">
        <v>365</v>
      </c>
      <c r="D11" s="12">
        <v>83005319585</v>
      </c>
      <c r="E11" s="30" t="s">
        <v>22</v>
      </c>
      <c r="F11" s="46"/>
      <c r="G11" s="46"/>
      <c r="H11" s="74"/>
      <c r="I11" s="51">
        <f t="shared" si="0"/>
        <v>0</v>
      </c>
    </row>
    <row r="12" spans="1:9" ht="21" customHeight="1">
      <c r="A12" s="60"/>
      <c r="B12" s="26" t="s">
        <v>23</v>
      </c>
      <c r="C12" s="26" t="s">
        <v>325</v>
      </c>
      <c r="D12" s="61">
        <v>999395654431</v>
      </c>
      <c r="E12" s="30" t="s">
        <v>24</v>
      </c>
      <c r="F12" s="46"/>
      <c r="G12" s="46"/>
      <c r="H12" s="74"/>
      <c r="I12" s="51">
        <f t="shared" si="0"/>
        <v>0</v>
      </c>
    </row>
    <row r="13" spans="1:9" ht="21" customHeight="1">
      <c r="A13" s="60"/>
      <c r="B13" s="26" t="s">
        <v>25</v>
      </c>
      <c r="C13" s="26" t="s">
        <v>315</v>
      </c>
      <c r="D13" s="61">
        <v>999395655454</v>
      </c>
      <c r="E13" s="30" t="s">
        <v>26</v>
      </c>
      <c r="F13" s="46"/>
      <c r="G13" s="46"/>
      <c r="H13" s="74"/>
      <c r="I13" s="51">
        <f t="shared" si="0"/>
        <v>0</v>
      </c>
    </row>
    <row r="14" spans="1:9" ht="21" customHeight="1">
      <c r="A14" s="60"/>
      <c r="B14" s="26" t="s">
        <v>27</v>
      </c>
      <c r="C14" s="26" t="s">
        <v>326</v>
      </c>
      <c r="D14" s="61">
        <v>512012286</v>
      </c>
      <c r="E14" s="30" t="s">
        <v>28</v>
      </c>
      <c r="F14" s="46"/>
      <c r="G14" s="46"/>
      <c r="H14" s="74"/>
      <c r="I14" s="51">
        <f t="shared" si="0"/>
        <v>0</v>
      </c>
    </row>
    <row r="15" spans="1:9" ht="21" customHeight="1">
      <c r="A15" s="60"/>
      <c r="B15" s="26" t="s">
        <v>29</v>
      </c>
      <c r="C15" s="26" t="s">
        <v>327</v>
      </c>
      <c r="D15" s="61">
        <v>999395659634</v>
      </c>
      <c r="E15" s="30" t="s">
        <v>30</v>
      </c>
      <c r="F15" s="46"/>
      <c r="G15" s="46"/>
      <c r="H15" s="74"/>
      <c r="I15" s="51">
        <f t="shared" si="0"/>
        <v>0</v>
      </c>
    </row>
    <row r="16" spans="1:9" ht="21" customHeight="1">
      <c r="A16" s="60"/>
      <c r="B16" s="26" t="s">
        <v>31</v>
      </c>
      <c r="C16" s="26" t="s">
        <v>317</v>
      </c>
      <c r="D16" s="61">
        <v>999395660462</v>
      </c>
      <c r="E16" s="30" t="s">
        <v>32</v>
      </c>
      <c r="F16" s="46"/>
      <c r="G16" s="46"/>
      <c r="H16" s="74"/>
      <c r="I16" s="51">
        <f t="shared" si="0"/>
        <v>0</v>
      </c>
    </row>
    <row r="17" spans="1:9" ht="21" customHeight="1">
      <c r="A17" s="60"/>
      <c r="B17" s="26" t="s">
        <v>33</v>
      </c>
      <c r="C17" s="26" t="s">
        <v>366</v>
      </c>
      <c r="D17" s="61">
        <v>999395662284</v>
      </c>
      <c r="E17" s="30" t="s">
        <v>34</v>
      </c>
      <c r="F17" s="46"/>
      <c r="G17" s="46"/>
      <c r="H17" s="74"/>
      <c r="I17" s="51">
        <f t="shared" si="0"/>
        <v>0</v>
      </c>
    </row>
    <row r="18" spans="1:9" ht="21" customHeight="1">
      <c r="A18" s="60"/>
      <c r="B18" s="26" t="s">
        <v>35</v>
      </c>
      <c r="C18" s="26" t="s">
        <v>292</v>
      </c>
      <c r="D18" s="61">
        <v>999395662947</v>
      </c>
      <c r="E18" s="30" t="s">
        <v>36</v>
      </c>
      <c r="F18" s="46"/>
      <c r="G18" s="46"/>
      <c r="H18" s="74"/>
      <c r="I18" s="51">
        <f t="shared" si="0"/>
        <v>0</v>
      </c>
    </row>
    <row r="19" spans="1:9" ht="21" customHeight="1">
      <c r="A19" s="60"/>
      <c r="B19" s="26" t="s">
        <v>37</v>
      </c>
      <c r="C19" s="26" t="s">
        <v>369</v>
      </c>
      <c r="D19" s="61">
        <v>999395663410</v>
      </c>
      <c r="E19" s="30" t="s">
        <v>38</v>
      </c>
      <c r="F19" s="46"/>
      <c r="G19" s="46"/>
      <c r="H19" s="74"/>
      <c r="I19" s="51">
        <f t="shared" si="0"/>
        <v>0</v>
      </c>
    </row>
    <row r="20" spans="1:9" ht="21" customHeight="1">
      <c r="A20" s="60"/>
      <c r="B20" s="26" t="s">
        <v>39</v>
      </c>
      <c r="C20" s="26" t="s">
        <v>293</v>
      </c>
      <c r="D20" s="61">
        <v>999395665004</v>
      </c>
      <c r="E20" s="30" t="s">
        <v>40</v>
      </c>
      <c r="F20" s="46"/>
      <c r="G20" s="46"/>
      <c r="H20" s="74"/>
      <c r="I20" s="51">
        <f t="shared" si="0"/>
        <v>0</v>
      </c>
    </row>
    <row r="21" spans="1:9" ht="21" customHeight="1">
      <c r="A21" s="60"/>
      <c r="B21" s="26" t="s">
        <v>41</v>
      </c>
      <c r="C21" s="26" t="s">
        <v>367</v>
      </c>
      <c r="D21" s="61">
        <v>999395665500</v>
      </c>
      <c r="E21" s="30" t="s">
        <v>42</v>
      </c>
      <c r="F21" s="46"/>
      <c r="G21" s="46"/>
      <c r="H21" s="74"/>
      <c r="I21" s="51">
        <f t="shared" si="0"/>
        <v>0</v>
      </c>
    </row>
    <row r="22" spans="1:9" ht="21" customHeight="1">
      <c r="A22" s="60"/>
      <c r="B22" s="26" t="s">
        <v>43</v>
      </c>
      <c r="C22" s="93"/>
      <c r="D22" s="61">
        <v>999395674678</v>
      </c>
      <c r="E22" s="30" t="s">
        <v>44</v>
      </c>
      <c r="F22" s="46"/>
      <c r="G22" s="46"/>
      <c r="H22" s="74"/>
      <c r="I22" s="51">
        <f t="shared" si="0"/>
        <v>0</v>
      </c>
    </row>
    <row r="23" spans="1:9" s="19" customFormat="1" ht="21" customHeight="1">
      <c r="A23" s="60"/>
      <c r="B23" s="26" t="s">
        <v>45</v>
      </c>
      <c r="C23" s="26" t="s">
        <v>307</v>
      </c>
      <c r="D23" s="61">
        <v>999395675751</v>
      </c>
      <c r="E23" s="30" t="s">
        <v>46</v>
      </c>
      <c r="F23" s="46"/>
      <c r="G23" s="46"/>
      <c r="H23" s="74"/>
      <c r="I23" s="51">
        <f t="shared" si="0"/>
        <v>0</v>
      </c>
    </row>
    <row r="24" spans="1:9" s="19" customFormat="1" ht="21" customHeight="1">
      <c r="A24" s="60"/>
      <c r="B24" s="26" t="s">
        <v>47</v>
      </c>
      <c r="C24" s="26" t="s">
        <v>318</v>
      </c>
      <c r="D24" s="61">
        <v>999395676257</v>
      </c>
      <c r="E24" s="30" t="s">
        <v>48</v>
      </c>
      <c r="F24" s="46"/>
      <c r="G24" s="46"/>
      <c r="H24" s="74"/>
      <c r="I24" s="51">
        <f t="shared" si="0"/>
        <v>0</v>
      </c>
    </row>
    <row r="25" spans="1:9" ht="21" customHeight="1">
      <c r="A25" s="60"/>
      <c r="B25" s="26" t="s">
        <v>49</v>
      </c>
      <c r="C25" s="26" t="s">
        <v>328</v>
      </c>
      <c r="D25" s="61">
        <v>999395676905</v>
      </c>
      <c r="E25" s="30" t="s">
        <v>50</v>
      </c>
      <c r="F25" s="46"/>
      <c r="G25" s="46"/>
      <c r="H25" s="74"/>
      <c r="I25" s="51">
        <f t="shared" si="0"/>
        <v>0</v>
      </c>
    </row>
    <row r="26" spans="1:9" ht="21" customHeight="1">
      <c r="A26" s="60"/>
      <c r="B26" s="26" t="s">
        <v>51</v>
      </c>
      <c r="C26" s="93"/>
      <c r="D26" s="61">
        <v>999395677339</v>
      </c>
      <c r="E26" s="30" t="s">
        <v>52</v>
      </c>
      <c r="F26" s="46"/>
      <c r="G26" s="46"/>
      <c r="H26" s="74"/>
      <c r="I26" s="51">
        <f t="shared" si="0"/>
        <v>0</v>
      </c>
    </row>
    <row r="27" spans="1:9" ht="21" customHeight="1">
      <c r="A27" s="60"/>
      <c r="B27" s="26" t="s">
        <v>53</v>
      </c>
      <c r="C27" s="93"/>
      <c r="D27" s="61">
        <v>999395680029</v>
      </c>
      <c r="E27" s="30" t="s">
        <v>54</v>
      </c>
      <c r="F27" s="46"/>
      <c r="G27" s="46"/>
      <c r="H27" s="74"/>
      <c r="I27" s="51">
        <f t="shared" si="0"/>
        <v>0</v>
      </c>
    </row>
    <row r="28" spans="1:9" ht="21" customHeight="1">
      <c r="A28" s="60"/>
      <c r="B28" s="26" t="s">
        <v>55</v>
      </c>
      <c r="C28" s="26" t="s">
        <v>294</v>
      </c>
      <c r="D28" s="61">
        <v>999395682858</v>
      </c>
      <c r="E28" s="30" t="s">
        <v>56</v>
      </c>
      <c r="F28" s="46"/>
      <c r="G28" s="46"/>
      <c r="H28" s="74"/>
      <c r="I28" s="51">
        <f t="shared" si="0"/>
        <v>0</v>
      </c>
    </row>
    <row r="29" spans="1:9" ht="21" customHeight="1">
      <c r="A29" s="60"/>
      <c r="B29" s="26" t="s">
        <v>57</v>
      </c>
      <c r="C29" s="26" t="s">
        <v>295</v>
      </c>
      <c r="D29" s="12">
        <v>512095448</v>
      </c>
      <c r="E29" s="30" t="s">
        <v>58</v>
      </c>
      <c r="F29" s="46"/>
      <c r="G29" s="46"/>
      <c r="H29" s="74"/>
      <c r="I29" s="51">
        <f t="shared" si="0"/>
        <v>0</v>
      </c>
    </row>
    <row r="30" spans="1:9" ht="21" customHeight="1">
      <c r="A30" s="60"/>
      <c r="B30" s="26" t="s">
        <v>59</v>
      </c>
      <c r="C30" s="26" t="s">
        <v>296</v>
      </c>
      <c r="D30" s="61">
        <v>999395695033</v>
      </c>
      <c r="E30" s="30" t="s">
        <v>60</v>
      </c>
      <c r="F30" s="46">
        <v>1509.5</v>
      </c>
      <c r="G30" s="46">
        <v>0</v>
      </c>
      <c r="H30" s="74">
        <v>0</v>
      </c>
      <c r="I30" s="51">
        <f t="shared" si="0"/>
        <v>1509.5</v>
      </c>
    </row>
    <row r="31" spans="1:9" ht="21" customHeight="1">
      <c r="A31" s="60"/>
      <c r="B31" s="26" t="s">
        <v>61</v>
      </c>
      <c r="C31" s="26" t="s">
        <v>296</v>
      </c>
      <c r="D31" s="61">
        <v>999395696742</v>
      </c>
      <c r="E31" s="30" t="s">
        <v>62</v>
      </c>
      <c r="F31" s="84">
        <v>2758</v>
      </c>
      <c r="G31" s="46">
        <v>0</v>
      </c>
      <c r="H31" s="46">
        <v>0</v>
      </c>
      <c r="I31" s="51">
        <f t="shared" si="0"/>
        <v>2758</v>
      </c>
    </row>
    <row r="32" spans="1:9" ht="21" customHeight="1">
      <c r="A32" s="60"/>
      <c r="B32" s="26" t="s">
        <v>63</v>
      </c>
      <c r="C32" s="26" t="s">
        <v>308</v>
      </c>
      <c r="D32" s="61">
        <v>999395697615</v>
      </c>
      <c r="E32" s="30" t="s">
        <v>64</v>
      </c>
      <c r="F32" s="46">
        <f>4953/2</f>
        <v>2476.5</v>
      </c>
      <c r="G32" s="46">
        <v>0</v>
      </c>
      <c r="H32" s="74">
        <v>0</v>
      </c>
      <c r="I32" s="51">
        <f t="shared" si="0"/>
        <v>2476.5</v>
      </c>
    </row>
    <row r="33" spans="1:9" s="20" customFormat="1" ht="21" customHeight="1">
      <c r="A33" s="60"/>
      <c r="B33" s="26" t="s">
        <v>65</v>
      </c>
      <c r="C33" s="26" t="s">
        <v>297</v>
      </c>
      <c r="D33" s="61">
        <v>999395698321</v>
      </c>
      <c r="E33" s="30" t="s">
        <v>66</v>
      </c>
      <c r="F33" s="84">
        <f>5015/2</f>
        <v>2507.5</v>
      </c>
      <c r="G33" s="46">
        <v>0</v>
      </c>
      <c r="H33" s="74">
        <v>0</v>
      </c>
      <c r="I33" s="51">
        <f t="shared" si="0"/>
        <v>2507.5</v>
      </c>
    </row>
    <row r="34" spans="1:9" ht="21" customHeight="1">
      <c r="A34" s="60"/>
      <c r="B34" s="26" t="s">
        <v>67</v>
      </c>
      <c r="C34" s="26" t="s">
        <v>309</v>
      </c>
      <c r="D34" s="62">
        <v>999395698661</v>
      </c>
      <c r="E34" s="31" t="s">
        <v>68</v>
      </c>
      <c r="F34" s="47">
        <f>1561/2</f>
        <v>780.5</v>
      </c>
      <c r="G34" s="47">
        <v>0</v>
      </c>
      <c r="H34" s="75">
        <v>0</v>
      </c>
      <c r="I34" s="51">
        <f t="shared" si="0"/>
        <v>780.5</v>
      </c>
    </row>
    <row r="35" spans="1:9" ht="21" customHeight="1">
      <c r="A35" s="60"/>
      <c r="B35" s="26" t="s">
        <v>69</v>
      </c>
      <c r="C35" s="26"/>
      <c r="D35" s="61">
        <v>999395699042</v>
      </c>
      <c r="E35" s="30" t="s">
        <v>70</v>
      </c>
      <c r="F35" s="46">
        <f>4446/2</f>
        <v>2223</v>
      </c>
      <c r="G35" s="46">
        <v>0</v>
      </c>
      <c r="H35" s="74">
        <v>0</v>
      </c>
      <c r="I35" s="51">
        <f t="shared" si="0"/>
        <v>2223</v>
      </c>
    </row>
    <row r="36" spans="1:9" ht="21" customHeight="1">
      <c r="A36" s="60"/>
      <c r="B36" s="26" t="s">
        <v>71</v>
      </c>
      <c r="C36" s="93"/>
      <c r="D36" s="61">
        <v>999395699192</v>
      </c>
      <c r="E36" s="30" t="s">
        <v>72</v>
      </c>
      <c r="F36" s="47">
        <f>1896/2</f>
        <v>948</v>
      </c>
      <c r="G36" s="47">
        <v>0</v>
      </c>
      <c r="H36" s="75">
        <v>0</v>
      </c>
      <c r="I36" s="92">
        <f t="shared" si="0"/>
        <v>948</v>
      </c>
    </row>
    <row r="37" spans="1:9" ht="21" customHeight="1">
      <c r="A37" s="60"/>
      <c r="B37" s="26" t="s">
        <v>73</v>
      </c>
      <c r="C37" s="93"/>
      <c r="D37" s="61">
        <v>999395699382</v>
      </c>
      <c r="E37" s="30" t="s">
        <v>74</v>
      </c>
      <c r="F37" s="84">
        <f>2079/2</f>
        <v>1039.5</v>
      </c>
      <c r="G37" s="46">
        <v>0</v>
      </c>
      <c r="H37" s="74">
        <v>0</v>
      </c>
      <c r="I37" s="51">
        <f t="shared" si="0"/>
        <v>1039.5</v>
      </c>
    </row>
    <row r="38" spans="1:9" ht="21" customHeight="1">
      <c r="A38" s="60"/>
      <c r="B38" s="26" t="s">
        <v>75</v>
      </c>
      <c r="C38" s="26" t="s">
        <v>298</v>
      </c>
      <c r="D38" s="61">
        <v>999395699631</v>
      </c>
      <c r="E38" s="30" t="s">
        <v>76</v>
      </c>
      <c r="F38" s="84">
        <f>271/2</f>
        <v>135.5</v>
      </c>
      <c r="G38" s="46">
        <v>0</v>
      </c>
      <c r="H38" s="74">
        <v>0</v>
      </c>
      <c r="I38" s="51">
        <f t="shared" si="0"/>
        <v>135.5</v>
      </c>
    </row>
    <row r="39" spans="1:9" ht="21" customHeight="1">
      <c r="A39" s="60"/>
      <c r="B39" s="26" t="s">
        <v>77</v>
      </c>
      <c r="C39" s="93"/>
      <c r="D39" s="61">
        <v>999395699855</v>
      </c>
      <c r="E39" s="30" t="s">
        <v>78</v>
      </c>
      <c r="F39" s="84">
        <f>1450/2</f>
        <v>725</v>
      </c>
      <c r="G39" s="46">
        <v>0</v>
      </c>
      <c r="H39" s="74">
        <v>0</v>
      </c>
      <c r="I39" s="51">
        <f t="shared" si="0"/>
        <v>725</v>
      </c>
    </row>
    <row r="40" spans="1:9" ht="21" customHeight="1">
      <c r="A40" s="60"/>
      <c r="B40" s="26" t="s">
        <v>79</v>
      </c>
      <c r="C40" s="26" t="s">
        <v>299</v>
      </c>
      <c r="D40" s="61">
        <v>999395699914</v>
      </c>
      <c r="E40" s="30" t="s">
        <v>80</v>
      </c>
      <c r="F40" s="46">
        <f>1755/2</f>
        <v>877.5</v>
      </c>
      <c r="G40" s="46">
        <v>0</v>
      </c>
      <c r="H40" s="74">
        <v>0</v>
      </c>
      <c r="I40" s="51">
        <f t="shared" si="0"/>
        <v>877.5</v>
      </c>
    </row>
    <row r="41" spans="1:9" ht="21" customHeight="1">
      <c r="A41" s="60"/>
      <c r="B41" s="26" t="s">
        <v>81</v>
      </c>
      <c r="C41" s="26" t="s">
        <v>329</v>
      </c>
      <c r="D41" s="61">
        <v>999395720675</v>
      </c>
      <c r="E41" s="30" t="s">
        <v>82</v>
      </c>
      <c r="F41" s="46">
        <f>2632/2</f>
        <v>1316</v>
      </c>
      <c r="G41" s="46">
        <v>0</v>
      </c>
      <c r="H41" s="74">
        <v>0</v>
      </c>
      <c r="I41" s="51">
        <f t="shared" si="0"/>
        <v>1316</v>
      </c>
    </row>
    <row r="42" spans="1:9" ht="21" customHeight="1">
      <c r="A42" s="60"/>
      <c r="B42" s="26" t="s">
        <v>83</v>
      </c>
      <c r="C42" s="26" t="s">
        <v>300</v>
      </c>
      <c r="D42" s="61">
        <v>999395721493</v>
      </c>
      <c r="E42" s="30" t="s">
        <v>84</v>
      </c>
      <c r="F42" s="84">
        <f>2878/2</f>
        <v>1439</v>
      </c>
      <c r="G42" s="46">
        <v>0</v>
      </c>
      <c r="H42" s="74">
        <v>0</v>
      </c>
      <c r="I42" s="51">
        <f t="shared" si="0"/>
        <v>1439</v>
      </c>
    </row>
    <row r="43" spans="1:9" ht="21" customHeight="1">
      <c r="A43" s="60"/>
      <c r="B43" s="26" t="s">
        <v>85</v>
      </c>
      <c r="C43" s="26"/>
      <c r="D43" s="61">
        <v>999395728957</v>
      </c>
      <c r="E43" s="30" t="s">
        <v>86</v>
      </c>
      <c r="F43" s="84">
        <f>1141/2</f>
        <v>570.5</v>
      </c>
      <c r="G43" s="46">
        <v>0</v>
      </c>
      <c r="H43" s="74">
        <v>0</v>
      </c>
      <c r="I43" s="51">
        <f t="shared" si="0"/>
        <v>570.5</v>
      </c>
    </row>
    <row r="44" spans="1:9" ht="21" customHeight="1">
      <c r="A44" s="60"/>
      <c r="B44" s="26" t="s">
        <v>87</v>
      </c>
      <c r="C44" s="26" t="s">
        <v>330</v>
      </c>
      <c r="D44" s="61">
        <v>999395729357</v>
      </c>
      <c r="E44" s="30" t="s">
        <v>88</v>
      </c>
      <c r="F44" s="46">
        <f>1033/2</f>
        <v>516.5</v>
      </c>
      <c r="G44" s="46">
        <v>0</v>
      </c>
      <c r="H44" s="74">
        <v>0</v>
      </c>
      <c r="I44" s="51">
        <f t="shared" si="0"/>
        <v>516.5</v>
      </c>
    </row>
    <row r="45" spans="1:9" ht="21" customHeight="1">
      <c r="A45" s="60"/>
      <c r="B45" s="26" t="s">
        <v>89</v>
      </c>
      <c r="C45" s="93"/>
      <c r="D45" s="61">
        <v>999395729815</v>
      </c>
      <c r="E45" s="30" t="s">
        <v>90</v>
      </c>
      <c r="F45" s="84">
        <f>1360/2</f>
        <v>680</v>
      </c>
      <c r="G45" s="46">
        <v>0</v>
      </c>
      <c r="H45" s="74">
        <v>0</v>
      </c>
      <c r="I45" s="51">
        <f t="shared" si="0"/>
        <v>680</v>
      </c>
    </row>
    <row r="46" spans="1:9" ht="21" customHeight="1">
      <c r="A46" s="60"/>
      <c r="B46" s="26" t="s">
        <v>94</v>
      </c>
      <c r="C46" s="26" t="s">
        <v>331</v>
      </c>
      <c r="D46" s="61">
        <v>999395730546</v>
      </c>
      <c r="E46" s="30" t="s">
        <v>91</v>
      </c>
      <c r="F46" s="84">
        <f>473/2</f>
        <v>236.5</v>
      </c>
      <c r="G46" s="46">
        <v>0</v>
      </c>
      <c r="H46" s="74">
        <v>0</v>
      </c>
      <c r="I46" s="51">
        <f t="shared" si="0"/>
        <v>236.5</v>
      </c>
    </row>
    <row r="47" spans="1:9" ht="21" customHeight="1">
      <c r="A47" s="60"/>
      <c r="B47" s="26" t="s">
        <v>92</v>
      </c>
      <c r="C47" s="26" t="s">
        <v>319</v>
      </c>
      <c r="D47" s="61">
        <v>999395731005</v>
      </c>
      <c r="E47" s="32" t="s">
        <v>93</v>
      </c>
      <c r="F47" s="84">
        <f>1703/2</f>
        <v>851.5</v>
      </c>
      <c r="G47" s="46">
        <v>0</v>
      </c>
      <c r="H47" s="74">
        <v>0</v>
      </c>
      <c r="I47" s="51">
        <f t="shared" si="0"/>
        <v>851.5</v>
      </c>
    </row>
    <row r="48" spans="1:9" ht="21" customHeight="1">
      <c r="A48" s="60"/>
      <c r="B48" s="26" t="s">
        <v>95</v>
      </c>
      <c r="C48" s="93"/>
      <c r="D48" s="61">
        <v>999395731797</v>
      </c>
      <c r="E48" s="30" t="s">
        <v>96</v>
      </c>
      <c r="F48" s="46">
        <f>16/2</f>
        <v>8</v>
      </c>
      <c r="G48" s="46">
        <v>0</v>
      </c>
      <c r="H48" s="74">
        <v>0</v>
      </c>
      <c r="I48" s="51">
        <f t="shared" si="0"/>
        <v>8</v>
      </c>
    </row>
    <row r="49" spans="1:9" ht="21" customHeight="1">
      <c r="A49" s="60"/>
      <c r="B49" s="26" t="s">
        <v>97</v>
      </c>
      <c r="C49" s="26"/>
      <c r="D49" s="61">
        <v>999395850272</v>
      </c>
      <c r="E49" s="30" t="s">
        <v>98</v>
      </c>
      <c r="F49" s="84"/>
      <c r="G49" s="46"/>
      <c r="H49" s="74"/>
      <c r="I49" s="51">
        <f t="shared" si="0"/>
        <v>0</v>
      </c>
    </row>
    <row r="50" spans="1:9" ht="21" customHeight="1">
      <c r="A50" s="60"/>
      <c r="B50" s="26" t="s">
        <v>99</v>
      </c>
      <c r="C50" s="93"/>
      <c r="D50" s="61">
        <v>999395869847</v>
      </c>
      <c r="E50" s="30" t="s">
        <v>100</v>
      </c>
      <c r="F50" s="84"/>
      <c r="G50" s="46"/>
      <c r="H50" s="74"/>
      <c r="I50" s="51">
        <f t="shared" si="0"/>
        <v>0</v>
      </c>
    </row>
    <row r="51" spans="1:9" ht="21" customHeight="1">
      <c r="A51" s="60"/>
      <c r="B51" s="26" t="s">
        <v>101</v>
      </c>
      <c r="C51" s="26" t="s">
        <v>371</v>
      </c>
      <c r="D51" s="12">
        <v>83007836944</v>
      </c>
      <c r="E51" s="30" t="s">
        <v>102</v>
      </c>
      <c r="F51" s="84"/>
      <c r="G51" s="46"/>
      <c r="H51" s="74"/>
      <c r="I51" s="51">
        <f t="shared" si="0"/>
        <v>0</v>
      </c>
    </row>
    <row r="52" spans="1:9" ht="21" customHeight="1">
      <c r="A52" s="60"/>
      <c r="B52" s="26" t="s">
        <v>103</v>
      </c>
      <c r="C52" s="26" t="s">
        <v>286</v>
      </c>
      <c r="D52" s="61">
        <v>999418107083</v>
      </c>
      <c r="E52" s="30" t="s">
        <v>104</v>
      </c>
      <c r="F52" s="84">
        <f>4381/2</f>
        <v>2190.5</v>
      </c>
      <c r="G52" s="46">
        <v>0</v>
      </c>
      <c r="H52" s="74">
        <v>0</v>
      </c>
      <c r="I52" s="51">
        <f t="shared" si="0"/>
        <v>2190.5</v>
      </c>
    </row>
    <row r="53" spans="1:9" ht="21" customHeight="1">
      <c r="A53" s="60"/>
      <c r="B53" s="26" t="s">
        <v>105</v>
      </c>
      <c r="C53" s="26" t="s">
        <v>332</v>
      </c>
      <c r="D53" s="61">
        <v>999418108530</v>
      </c>
      <c r="E53" s="30" t="s">
        <v>106</v>
      </c>
      <c r="F53" s="84"/>
      <c r="G53" s="46"/>
      <c r="H53" s="74"/>
      <c r="I53" s="51">
        <f t="shared" si="0"/>
        <v>0</v>
      </c>
    </row>
    <row r="54" spans="1:9" ht="21" customHeight="1">
      <c r="A54" s="60"/>
      <c r="B54" s="26" t="s">
        <v>107</v>
      </c>
      <c r="C54" s="26" t="s">
        <v>302</v>
      </c>
      <c r="D54" s="61">
        <v>999444028261</v>
      </c>
      <c r="E54" s="30" t="s">
        <v>108</v>
      </c>
      <c r="F54" s="84"/>
      <c r="G54" s="46"/>
      <c r="H54" s="74"/>
      <c r="I54" s="51">
        <f t="shared" si="0"/>
        <v>0</v>
      </c>
    </row>
    <row r="55" spans="1:9" ht="21" customHeight="1">
      <c r="A55" s="60"/>
      <c r="B55" s="26" t="s">
        <v>109</v>
      </c>
      <c r="C55" s="26" t="s">
        <v>313</v>
      </c>
      <c r="D55" s="12">
        <v>83000769293</v>
      </c>
      <c r="E55" s="30" t="s">
        <v>110</v>
      </c>
      <c r="F55" s="84"/>
      <c r="G55" s="46"/>
      <c r="H55" s="74"/>
      <c r="I55" s="51">
        <f t="shared" si="0"/>
        <v>0</v>
      </c>
    </row>
    <row r="56" spans="1:9" s="19" customFormat="1" ht="21" customHeight="1">
      <c r="A56" s="60"/>
      <c r="B56" s="35" t="s">
        <v>125</v>
      </c>
      <c r="C56" s="94"/>
      <c r="D56" s="36">
        <v>60006203645</v>
      </c>
      <c r="E56" s="37" t="s">
        <v>126</v>
      </c>
      <c r="F56" s="84"/>
      <c r="G56" s="46"/>
      <c r="H56" s="48"/>
      <c r="I56" s="51">
        <f t="shared" si="0"/>
        <v>0</v>
      </c>
    </row>
    <row r="57" spans="1:9" ht="21" customHeight="1">
      <c r="A57" s="60"/>
      <c r="B57" s="26" t="s">
        <v>127</v>
      </c>
      <c r="C57" s="93"/>
      <c r="D57" s="12">
        <v>60007966411</v>
      </c>
      <c r="E57" s="30" t="s">
        <v>128</v>
      </c>
      <c r="F57" s="84"/>
      <c r="G57" s="46"/>
      <c r="H57" s="74"/>
      <c r="I57" s="51">
        <f t="shared" si="0"/>
        <v>0</v>
      </c>
    </row>
    <row r="58" spans="1:9" ht="21" customHeight="1">
      <c r="A58" s="60"/>
      <c r="B58" s="26" t="s">
        <v>129</v>
      </c>
      <c r="C58" s="26" t="s">
        <v>289</v>
      </c>
      <c r="D58" s="12">
        <v>60006643135</v>
      </c>
      <c r="E58" s="30" t="s">
        <v>130</v>
      </c>
      <c r="F58" s="84">
        <f>633/2</f>
        <v>316.5</v>
      </c>
      <c r="G58" s="46">
        <v>0</v>
      </c>
      <c r="H58" s="74">
        <v>0</v>
      </c>
      <c r="I58" s="51">
        <f t="shared" si="0"/>
        <v>316.5</v>
      </c>
    </row>
    <row r="59" spans="1:9" ht="21" customHeight="1">
      <c r="A59" s="60"/>
      <c r="B59" s="26" t="s">
        <v>131</v>
      </c>
      <c r="C59" s="93"/>
      <c r="D59" s="12">
        <v>60007843244</v>
      </c>
      <c r="E59" s="30" t="s">
        <v>132</v>
      </c>
      <c r="F59" s="46">
        <f>622/2</f>
        <v>311</v>
      </c>
      <c r="G59" s="46">
        <v>0</v>
      </c>
      <c r="H59" s="74">
        <v>0</v>
      </c>
      <c r="I59" s="51">
        <f t="shared" si="0"/>
        <v>311</v>
      </c>
    </row>
    <row r="60" spans="1:9" ht="21" customHeight="1">
      <c r="A60" s="60"/>
      <c r="B60" s="26" t="s">
        <v>133</v>
      </c>
      <c r="C60" s="26" t="s">
        <v>322</v>
      </c>
      <c r="D60" s="12">
        <v>60007843069</v>
      </c>
      <c r="E60" s="30" t="s">
        <v>134</v>
      </c>
      <c r="F60" s="46">
        <f>356/2</f>
        <v>178</v>
      </c>
      <c r="G60" s="46">
        <v>0</v>
      </c>
      <c r="H60" s="74">
        <v>0</v>
      </c>
      <c r="I60" s="51">
        <f aca="true" t="shared" si="1" ref="I60:I120">F60+G60+H60</f>
        <v>178</v>
      </c>
    </row>
    <row r="61" spans="1:9" ht="21" customHeight="1">
      <c r="A61" s="60"/>
      <c r="B61" s="26" t="s">
        <v>135</v>
      </c>
      <c r="C61" s="26" t="s">
        <v>353</v>
      </c>
      <c r="D61" s="12">
        <v>60007843073</v>
      </c>
      <c r="E61" s="30" t="s">
        <v>136</v>
      </c>
      <c r="F61" s="84">
        <f>595/2</f>
        <v>297.5</v>
      </c>
      <c r="G61" s="46">
        <v>0</v>
      </c>
      <c r="H61" s="74">
        <v>0</v>
      </c>
      <c r="I61" s="51">
        <f t="shared" si="1"/>
        <v>297.5</v>
      </c>
    </row>
    <row r="62" spans="1:9" ht="21" customHeight="1">
      <c r="A62" s="60"/>
      <c r="B62" s="26" t="s">
        <v>137</v>
      </c>
      <c r="C62" s="93"/>
      <c r="D62" s="12">
        <v>60007843356</v>
      </c>
      <c r="E62" s="30" t="s">
        <v>138</v>
      </c>
      <c r="F62" s="46">
        <f>193/2</f>
        <v>96.5</v>
      </c>
      <c r="G62" s="46">
        <v>0</v>
      </c>
      <c r="H62" s="74">
        <v>0</v>
      </c>
      <c r="I62" s="51">
        <f t="shared" si="1"/>
        <v>96.5</v>
      </c>
    </row>
    <row r="63" spans="1:9" ht="21" customHeight="1">
      <c r="A63" s="60"/>
      <c r="B63" s="26" t="s">
        <v>139</v>
      </c>
      <c r="C63" s="93"/>
      <c r="D63" s="12">
        <v>60007847274</v>
      </c>
      <c r="E63" s="30" t="s">
        <v>140</v>
      </c>
      <c r="F63" s="84">
        <f>258/2</f>
        <v>129</v>
      </c>
      <c r="G63" s="46">
        <v>0</v>
      </c>
      <c r="H63" s="74">
        <v>0</v>
      </c>
      <c r="I63" s="51">
        <f t="shared" si="1"/>
        <v>129</v>
      </c>
    </row>
    <row r="64" spans="1:9" ht="21" customHeight="1">
      <c r="A64" s="60"/>
      <c r="B64" s="26" t="s">
        <v>141</v>
      </c>
      <c r="C64" s="93"/>
      <c r="D64" s="12">
        <v>60007847482</v>
      </c>
      <c r="E64" s="30" t="s">
        <v>142</v>
      </c>
      <c r="F64" s="84"/>
      <c r="G64" s="46"/>
      <c r="H64" s="74"/>
      <c r="I64" s="51">
        <f t="shared" si="1"/>
        <v>0</v>
      </c>
    </row>
    <row r="65" spans="1:9" ht="21" customHeight="1">
      <c r="A65" s="60"/>
      <c r="B65" s="26" t="s">
        <v>143</v>
      </c>
      <c r="C65" s="26" t="s">
        <v>323</v>
      </c>
      <c r="D65" s="12">
        <v>60007858040</v>
      </c>
      <c r="E65" s="78" t="s">
        <v>144</v>
      </c>
      <c r="F65" s="84"/>
      <c r="G65" s="46"/>
      <c r="H65" s="74"/>
      <c r="I65" s="51">
        <f t="shared" si="1"/>
        <v>0</v>
      </c>
    </row>
    <row r="66" spans="1:9" ht="21" customHeight="1">
      <c r="A66" s="60"/>
      <c r="B66" s="43" t="s">
        <v>145</v>
      </c>
      <c r="C66" s="43" t="s">
        <v>358</v>
      </c>
      <c r="D66" s="44">
        <v>60007889355</v>
      </c>
      <c r="E66" s="37" t="s">
        <v>146</v>
      </c>
      <c r="F66" s="84">
        <f>196/2</f>
        <v>98</v>
      </c>
      <c r="G66" s="46">
        <v>0</v>
      </c>
      <c r="H66" s="74">
        <v>0</v>
      </c>
      <c r="I66" s="51">
        <f t="shared" si="1"/>
        <v>98</v>
      </c>
    </row>
    <row r="67" spans="1:9" ht="21" customHeight="1">
      <c r="A67" s="60"/>
      <c r="B67" s="41" t="s">
        <v>147</v>
      </c>
      <c r="C67" s="41" t="s">
        <v>311</v>
      </c>
      <c r="D67" s="40">
        <v>60007899611</v>
      </c>
      <c r="E67" s="42" t="s">
        <v>148</v>
      </c>
      <c r="F67" s="85"/>
      <c r="G67" s="47"/>
      <c r="H67" s="75"/>
      <c r="I67" s="51">
        <f t="shared" si="1"/>
        <v>0</v>
      </c>
    </row>
    <row r="68" spans="1:9" s="20" customFormat="1" ht="21" customHeight="1">
      <c r="A68" s="60"/>
      <c r="B68" s="26" t="s">
        <v>149</v>
      </c>
      <c r="C68" s="93"/>
      <c r="D68" s="12">
        <v>60008073286</v>
      </c>
      <c r="E68" s="30" t="s">
        <v>150</v>
      </c>
      <c r="F68" s="46">
        <f>73/2</f>
        <v>36.5</v>
      </c>
      <c r="G68" s="46">
        <v>0</v>
      </c>
      <c r="H68" s="74">
        <v>0</v>
      </c>
      <c r="I68" s="51">
        <f t="shared" si="1"/>
        <v>36.5</v>
      </c>
    </row>
    <row r="69" spans="1:9" ht="21" customHeight="1">
      <c r="A69" s="60"/>
      <c r="B69" s="26" t="s">
        <v>151</v>
      </c>
      <c r="C69" s="26"/>
      <c r="D69" s="12">
        <v>60008101006</v>
      </c>
      <c r="E69" s="30" t="s">
        <v>152</v>
      </c>
      <c r="F69" s="91">
        <f>0+1.5</f>
        <v>1.5</v>
      </c>
      <c r="G69" s="46">
        <v>0</v>
      </c>
      <c r="H69" s="74">
        <v>0</v>
      </c>
      <c r="I69" s="51">
        <f t="shared" si="1"/>
        <v>1.5</v>
      </c>
    </row>
    <row r="70" spans="1:9" ht="21" customHeight="1">
      <c r="A70" s="60"/>
      <c r="B70" s="26" t="s">
        <v>153</v>
      </c>
      <c r="C70" s="26" t="s">
        <v>359</v>
      </c>
      <c r="D70" s="12">
        <v>60008115357</v>
      </c>
      <c r="E70" s="30" t="s">
        <v>154</v>
      </c>
      <c r="F70" s="84"/>
      <c r="G70" s="46"/>
      <c r="H70" s="74"/>
      <c r="I70" s="51">
        <f t="shared" si="1"/>
        <v>0</v>
      </c>
    </row>
    <row r="71" spans="1:9" ht="21" customHeight="1">
      <c r="A71" s="60"/>
      <c r="B71" s="26" t="s">
        <v>155</v>
      </c>
      <c r="C71" s="26" t="s">
        <v>312</v>
      </c>
      <c r="D71" s="12">
        <v>60008450632</v>
      </c>
      <c r="E71" s="30" t="s">
        <v>156</v>
      </c>
      <c r="F71" s="84"/>
      <c r="G71" s="46"/>
      <c r="H71" s="74"/>
      <c r="I71" s="51">
        <f t="shared" si="1"/>
        <v>0</v>
      </c>
    </row>
    <row r="72" spans="1:9" ht="21" customHeight="1">
      <c r="A72" s="60"/>
      <c r="B72" s="26" t="s">
        <v>157</v>
      </c>
      <c r="C72" s="26" t="s">
        <v>360</v>
      </c>
      <c r="D72" s="12">
        <v>60008427213</v>
      </c>
      <c r="E72" s="30" t="s">
        <v>158</v>
      </c>
      <c r="F72" s="46">
        <f>160/2</f>
        <v>80</v>
      </c>
      <c r="G72" s="46">
        <v>0</v>
      </c>
      <c r="H72" s="74">
        <v>0</v>
      </c>
      <c r="I72" s="51">
        <f t="shared" si="1"/>
        <v>80</v>
      </c>
    </row>
    <row r="73" spans="1:9" ht="21" customHeight="1">
      <c r="A73" s="60"/>
      <c r="B73" s="26" t="s">
        <v>159</v>
      </c>
      <c r="C73" s="26" t="s">
        <v>361</v>
      </c>
      <c r="D73" s="12">
        <v>60008475541</v>
      </c>
      <c r="E73" s="30" t="s">
        <v>160</v>
      </c>
      <c r="F73" s="46">
        <f>218/2</f>
        <v>109</v>
      </c>
      <c r="G73" s="46">
        <v>0</v>
      </c>
      <c r="H73" s="74">
        <v>0</v>
      </c>
      <c r="I73" s="51">
        <f t="shared" si="1"/>
        <v>109</v>
      </c>
    </row>
    <row r="74" spans="1:9" ht="21" customHeight="1">
      <c r="A74" s="60"/>
      <c r="B74" s="26" t="s">
        <v>161</v>
      </c>
      <c r="C74" s="93"/>
      <c r="D74" s="12">
        <v>60008368817</v>
      </c>
      <c r="E74" s="30" t="s">
        <v>162</v>
      </c>
      <c r="F74" s="84"/>
      <c r="G74" s="46"/>
      <c r="H74" s="74"/>
      <c r="I74" s="51">
        <f t="shared" si="1"/>
        <v>0</v>
      </c>
    </row>
    <row r="75" spans="1:9" ht="21" customHeight="1">
      <c r="A75" s="60"/>
      <c r="B75" s="26" t="s">
        <v>163</v>
      </c>
      <c r="C75" s="26" t="s">
        <v>372</v>
      </c>
      <c r="D75" s="12">
        <v>60091069643</v>
      </c>
      <c r="E75" s="30" t="s">
        <v>164</v>
      </c>
      <c r="F75" s="84"/>
      <c r="G75" s="46"/>
      <c r="H75" s="74"/>
      <c r="I75" s="51">
        <f t="shared" si="1"/>
        <v>0</v>
      </c>
    </row>
    <row r="76" spans="1:9" ht="21" customHeight="1">
      <c r="A76" s="60"/>
      <c r="B76" s="26" t="s">
        <v>165</v>
      </c>
      <c r="C76" s="26" t="s">
        <v>363</v>
      </c>
      <c r="D76" s="12">
        <v>60089709450</v>
      </c>
      <c r="E76" s="30" t="s">
        <v>166</v>
      </c>
      <c r="F76" s="84">
        <f>202/2</f>
        <v>101</v>
      </c>
      <c r="G76" s="46">
        <v>0</v>
      </c>
      <c r="H76" s="74">
        <v>0</v>
      </c>
      <c r="I76" s="51">
        <f t="shared" si="1"/>
        <v>101</v>
      </c>
    </row>
    <row r="77" spans="1:9" ht="21" customHeight="1">
      <c r="A77" s="60"/>
      <c r="B77" s="26" t="s">
        <v>167</v>
      </c>
      <c r="C77" s="26" t="s">
        <v>362</v>
      </c>
      <c r="D77" s="12">
        <v>60089553056</v>
      </c>
      <c r="E77" s="30" t="s">
        <v>168</v>
      </c>
      <c r="F77" s="46">
        <f>4007/2</f>
        <v>2003.5</v>
      </c>
      <c r="G77" s="46">
        <v>0</v>
      </c>
      <c r="H77" s="74">
        <v>0</v>
      </c>
      <c r="I77" s="51">
        <f t="shared" si="1"/>
        <v>2003.5</v>
      </c>
    </row>
    <row r="78" spans="1:9" ht="21" customHeight="1">
      <c r="A78" s="60"/>
      <c r="B78" s="26" t="s">
        <v>169</v>
      </c>
      <c r="C78" s="26" t="s">
        <v>364</v>
      </c>
      <c r="D78" s="17">
        <v>60090692774</v>
      </c>
      <c r="E78" s="31" t="s">
        <v>170</v>
      </c>
      <c r="F78" s="84"/>
      <c r="G78" s="46"/>
      <c r="H78" s="74"/>
      <c r="I78" s="51">
        <f t="shared" si="1"/>
        <v>0</v>
      </c>
    </row>
    <row r="79" spans="1:9" ht="21" customHeight="1">
      <c r="A79" s="60"/>
      <c r="B79" s="26" t="s">
        <v>171</v>
      </c>
      <c r="C79" s="93"/>
      <c r="D79" s="12">
        <v>60006579681</v>
      </c>
      <c r="E79" s="30" t="s">
        <v>172</v>
      </c>
      <c r="F79" s="84"/>
      <c r="G79" s="46"/>
      <c r="H79" s="74"/>
      <c r="I79" s="51">
        <f t="shared" si="1"/>
        <v>0</v>
      </c>
    </row>
    <row r="80" spans="1:9" ht="21" customHeight="1">
      <c r="A80" s="60"/>
      <c r="B80" s="26" t="s">
        <v>173</v>
      </c>
      <c r="C80" s="26" t="s">
        <v>333</v>
      </c>
      <c r="D80" s="12">
        <v>60006586696</v>
      </c>
      <c r="E80" s="30" t="s">
        <v>174</v>
      </c>
      <c r="F80" s="84">
        <f>1145/2</f>
        <v>572.5</v>
      </c>
      <c r="G80" s="46">
        <v>0</v>
      </c>
      <c r="H80" s="74">
        <v>0</v>
      </c>
      <c r="I80" s="51">
        <f t="shared" si="1"/>
        <v>572.5</v>
      </c>
    </row>
    <row r="81" spans="1:9" ht="21" customHeight="1">
      <c r="A81" s="60"/>
      <c r="B81" s="26" t="s">
        <v>175</v>
      </c>
      <c r="C81" s="93"/>
      <c r="D81" s="17">
        <v>60006586704</v>
      </c>
      <c r="E81" s="31" t="s">
        <v>176</v>
      </c>
      <c r="F81" s="84">
        <f>149/2</f>
        <v>74.5</v>
      </c>
      <c r="G81" s="46">
        <v>0</v>
      </c>
      <c r="H81" s="74">
        <v>0</v>
      </c>
      <c r="I81" s="51">
        <f t="shared" si="1"/>
        <v>74.5</v>
      </c>
    </row>
    <row r="82" spans="1:9" s="20" customFormat="1" ht="21" customHeight="1">
      <c r="A82" s="60"/>
      <c r="B82" s="26" t="s">
        <v>177</v>
      </c>
      <c r="C82" s="26" t="s">
        <v>370</v>
      </c>
      <c r="D82" s="12">
        <v>60006587652</v>
      </c>
      <c r="E82" s="33" t="s">
        <v>178</v>
      </c>
      <c r="F82" s="85">
        <f>980/2</f>
        <v>490</v>
      </c>
      <c r="G82" s="47">
        <v>0</v>
      </c>
      <c r="H82" s="75">
        <v>0</v>
      </c>
      <c r="I82" s="51">
        <f t="shared" si="1"/>
        <v>490</v>
      </c>
    </row>
    <row r="83" spans="1:9" ht="21" customHeight="1">
      <c r="A83" s="60"/>
      <c r="B83" s="26" t="s">
        <v>179</v>
      </c>
      <c r="C83" s="26" t="s">
        <v>334</v>
      </c>
      <c r="D83" s="12">
        <v>60006587671</v>
      </c>
      <c r="E83" s="30" t="s">
        <v>180</v>
      </c>
      <c r="F83" s="86">
        <f>818/2</f>
        <v>409</v>
      </c>
      <c r="G83" s="49">
        <v>0</v>
      </c>
      <c r="H83" s="76">
        <v>0</v>
      </c>
      <c r="I83" s="51">
        <f t="shared" si="1"/>
        <v>409</v>
      </c>
    </row>
    <row r="84" spans="1:9" ht="21" customHeight="1">
      <c r="A84" s="60"/>
      <c r="B84" s="26" t="s">
        <v>181</v>
      </c>
      <c r="C84" s="26" t="s">
        <v>335</v>
      </c>
      <c r="D84" s="12">
        <v>60006593566</v>
      </c>
      <c r="E84" s="30" t="s">
        <v>182</v>
      </c>
      <c r="F84" s="46">
        <f>650/2</f>
        <v>325</v>
      </c>
      <c r="G84" s="46">
        <v>0</v>
      </c>
      <c r="H84" s="74">
        <v>0</v>
      </c>
      <c r="I84" s="51">
        <f t="shared" si="1"/>
        <v>325</v>
      </c>
    </row>
    <row r="85" spans="1:9" ht="21" customHeight="1">
      <c r="A85" s="60"/>
      <c r="B85" s="26" t="s">
        <v>183</v>
      </c>
      <c r="C85" s="26" t="s">
        <v>336</v>
      </c>
      <c r="D85" s="12">
        <v>60006601563</v>
      </c>
      <c r="E85" s="30" t="s">
        <v>184</v>
      </c>
      <c r="F85" s="46">
        <f>930/2</f>
        <v>465</v>
      </c>
      <c r="G85" s="46">
        <v>0</v>
      </c>
      <c r="H85" s="74">
        <v>0</v>
      </c>
      <c r="I85" s="51">
        <f t="shared" si="1"/>
        <v>465</v>
      </c>
    </row>
    <row r="86" spans="1:9" ht="21" customHeight="1">
      <c r="A86" s="60"/>
      <c r="B86" s="26" t="s">
        <v>185</v>
      </c>
      <c r="C86" s="26" t="s">
        <v>310</v>
      </c>
      <c r="D86" s="12">
        <v>60006630551</v>
      </c>
      <c r="E86" s="30" t="s">
        <v>186</v>
      </c>
      <c r="F86" s="46">
        <f>1224/2</f>
        <v>612</v>
      </c>
      <c r="G86" s="46">
        <v>0</v>
      </c>
      <c r="H86" s="74">
        <v>0</v>
      </c>
      <c r="I86" s="51">
        <f t="shared" si="1"/>
        <v>612</v>
      </c>
    </row>
    <row r="87" spans="1:9" ht="21" customHeight="1">
      <c r="A87" s="60"/>
      <c r="B87" s="26" t="s">
        <v>187</v>
      </c>
      <c r="C87" s="26" t="s">
        <v>287</v>
      </c>
      <c r="D87" s="12">
        <v>60006631759</v>
      </c>
      <c r="E87" s="30" t="s">
        <v>188</v>
      </c>
      <c r="F87" s="46">
        <f>405/2</f>
        <v>202.5</v>
      </c>
      <c r="G87" s="46">
        <v>0</v>
      </c>
      <c r="H87" s="74">
        <v>0</v>
      </c>
      <c r="I87" s="51">
        <f t="shared" si="1"/>
        <v>202.5</v>
      </c>
    </row>
    <row r="88" spans="1:9" ht="21" customHeight="1">
      <c r="A88" s="60"/>
      <c r="B88" s="26" t="s">
        <v>189</v>
      </c>
      <c r="C88" s="26" t="s">
        <v>339</v>
      </c>
      <c r="D88" s="12">
        <v>60006631974</v>
      </c>
      <c r="E88" s="30" t="s">
        <v>190</v>
      </c>
      <c r="F88" s="46">
        <f>7025/3</f>
        <v>2341.6666666666665</v>
      </c>
      <c r="G88" s="46">
        <v>0</v>
      </c>
      <c r="H88" s="74">
        <v>0</v>
      </c>
      <c r="I88" s="51">
        <f t="shared" si="1"/>
        <v>2341.6666666666665</v>
      </c>
    </row>
    <row r="89" spans="1:9" ht="21" customHeight="1">
      <c r="A89" s="60"/>
      <c r="B89" s="26" t="s">
        <v>191</v>
      </c>
      <c r="C89" s="26" t="s">
        <v>356</v>
      </c>
      <c r="D89" s="12">
        <v>60007843337</v>
      </c>
      <c r="E89" s="30" t="s">
        <v>192</v>
      </c>
      <c r="F89" s="46">
        <f>913/2</f>
        <v>456.5</v>
      </c>
      <c r="G89" s="46">
        <v>0</v>
      </c>
      <c r="H89" s="74">
        <v>0</v>
      </c>
      <c r="I89" s="51">
        <f t="shared" si="1"/>
        <v>456.5</v>
      </c>
    </row>
    <row r="90" spans="1:9" ht="21" customHeight="1">
      <c r="A90" s="60"/>
      <c r="B90" s="26" t="s">
        <v>193</v>
      </c>
      <c r="C90" s="26" t="s">
        <v>305</v>
      </c>
      <c r="D90" s="12">
        <v>60006631992</v>
      </c>
      <c r="E90" s="30" t="s">
        <v>194</v>
      </c>
      <c r="F90" s="84"/>
      <c r="G90" s="46"/>
      <c r="H90" s="74"/>
      <c r="I90" s="51">
        <f t="shared" si="1"/>
        <v>0</v>
      </c>
    </row>
    <row r="91" spans="1:9" ht="21" customHeight="1">
      <c r="A91" s="60"/>
      <c r="B91" s="26" t="s">
        <v>195</v>
      </c>
      <c r="C91" s="26" t="s">
        <v>341</v>
      </c>
      <c r="D91" s="12">
        <v>60006632013</v>
      </c>
      <c r="E91" s="30" t="s">
        <v>196</v>
      </c>
      <c r="F91" s="46">
        <f>222/2</f>
        <v>111</v>
      </c>
      <c r="G91" s="46">
        <v>0</v>
      </c>
      <c r="H91" s="74">
        <v>0</v>
      </c>
      <c r="I91" s="51">
        <f t="shared" si="1"/>
        <v>111</v>
      </c>
    </row>
    <row r="92" spans="1:9" ht="21" customHeight="1">
      <c r="A92" s="60"/>
      <c r="B92" s="26" t="s">
        <v>197</v>
      </c>
      <c r="C92" s="26" t="s">
        <v>288</v>
      </c>
      <c r="D92" s="12">
        <v>60006632028</v>
      </c>
      <c r="E92" s="30" t="s">
        <v>198</v>
      </c>
      <c r="F92" s="46">
        <f>2351/2</f>
        <v>1175.5</v>
      </c>
      <c r="G92" s="46">
        <v>0</v>
      </c>
      <c r="H92" s="74">
        <v>0</v>
      </c>
      <c r="I92" s="51">
        <f t="shared" si="1"/>
        <v>1175.5</v>
      </c>
    </row>
    <row r="93" spans="1:9" ht="21" customHeight="1">
      <c r="A93" s="60"/>
      <c r="B93" s="26" t="s">
        <v>199</v>
      </c>
      <c r="C93" s="26" t="s">
        <v>342</v>
      </c>
      <c r="D93" s="12">
        <v>60006632034</v>
      </c>
      <c r="E93" s="30" t="s">
        <v>200</v>
      </c>
      <c r="F93" s="84">
        <f>340/2</f>
        <v>170</v>
      </c>
      <c r="G93" s="46">
        <v>0</v>
      </c>
      <c r="H93" s="74">
        <v>0</v>
      </c>
      <c r="I93" s="51">
        <f t="shared" si="1"/>
        <v>170</v>
      </c>
    </row>
    <row r="94" spans="1:9" ht="21" customHeight="1">
      <c r="A94" s="60"/>
      <c r="B94" s="26" t="s">
        <v>201</v>
      </c>
      <c r="C94" s="26" t="s">
        <v>343</v>
      </c>
      <c r="D94" s="12">
        <v>60006637176</v>
      </c>
      <c r="E94" s="30" t="s">
        <v>202</v>
      </c>
      <c r="F94" s="84">
        <f>412/2</f>
        <v>206</v>
      </c>
      <c r="G94" s="46">
        <v>0</v>
      </c>
      <c r="H94" s="74">
        <v>0</v>
      </c>
      <c r="I94" s="51">
        <f t="shared" si="1"/>
        <v>206</v>
      </c>
    </row>
    <row r="95" spans="1:9" ht="21" customHeight="1">
      <c r="A95" s="60"/>
      <c r="B95" s="26" t="s">
        <v>203</v>
      </c>
      <c r="C95" s="93"/>
      <c r="D95" s="12">
        <v>60006637235</v>
      </c>
      <c r="E95" s="30" t="s">
        <v>204</v>
      </c>
      <c r="F95" s="84">
        <f>144/2</f>
        <v>72</v>
      </c>
      <c r="G95" s="46">
        <v>0</v>
      </c>
      <c r="H95" s="74">
        <v>0</v>
      </c>
      <c r="I95" s="51">
        <f t="shared" si="1"/>
        <v>72</v>
      </c>
    </row>
    <row r="96" spans="1:9" ht="21" customHeight="1">
      <c r="A96" s="60"/>
      <c r="B96" s="26" t="s">
        <v>205</v>
      </c>
      <c r="C96" s="26" t="s">
        <v>306</v>
      </c>
      <c r="D96" s="12">
        <v>60006637714</v>
      </c>
      <c r="E96" s="30" t="s">
        <v>206</v>
      </c>
      <c r="F96" s="84">
        <f>232/2</f>
        <v>116</v>
      </c>
      <c r="G96" s="46">
        <v>0</v>
      </c>
      <c r="H96" s="74">
        <v>0</v>
      </c>
      <c r="I96" s="51">
        <f t="shared" si="1"/>
        <v>116</v>
      </c>
    </row>
    <row r="97" spans="1:9" ht="21" customHeight="1">
      <c r="A97" s="60"/>
      <c r="B97" s="26" t="s">
        <v>207</v>
      </c>
      <c r="C97" s="93"/>
      <c r="D97" s="12">
        <v>60006642108</v>
      </c>
      <c r="E97" s="30" t="s">
        <v>208</v>
      </c>
      <c r="F97" s="84">
        <f>144/2</f>
        <v>72</v>
      </c>
      <c r="G97" s="46">
        <v>0</v>
      </c>
      <c r="H97" s="74">
        <v>0</v>
      </c>
      <c r="I97" s="51">
        <f t="shared" si="1"/>
        <v>72</v>
      </c>
    </row>
    <row r="98" spans="1:9" ht="21" customHeight="1">
      <c r="A98" s="60"/>
      <c r="B98" s="26" t="s">
        <v>209</v>
      </c>
      <c r="C98" s="93"/>
      <c r="D98" s="12">
        <v>60006642114</v>
      </c>
      <c r="E98" s="30" t="s">
        <v>210</v>
      </c>
      <c r="F98" s="84">
        <f>144/2</f>
        <v>72</v>
      </c>
      <c r="G98" s="46">
        <v>0</v>
      </c>
      <c r="H98" s="74">
        <v>0</v>
      </c>
      <c r="I98" s="51">
        <f t="shared" si="1"/>
        <v>72</v>
      </c>
    </row>
    <row r="99" spans="1:9" ht="21" customHeight="1">
      <c r="A99" s="60"/>
      <c r="B99" s="26" t="s">
        <v>211</v>
      </c>
      <c r="C99" s="26" t="s">
        <v>290</v>
      </c>
      <c r="D99" s="12">
        <v>60006644426</v>
      </c>
      <c r="E99" s="30" t="s">
        <v>212</v>
      </c>
      <c r="F99" s="84"/>
      <c r="G99" s="46"/>
      <c r="H99" s="74"/>
      <c r="I99" s="51">
        <f t="shared" si="1"/>
        <v>0</v>
      </c>
    </row>
    <row r="100" spans="1:9" ht="21" customHeight="1">
      <c r="A100" s="60"/>
      <c r="B100" s="26" t="s">
        <v>213</v>
      </c>
      <c r="C100" s="93"/>
      <c r="D100" s="12">
        <v>60006644431</v>
      </c>
      <c r="E100" s="30" t="s">
        <v>214</v>
      </c>
      <c r="F100" s="84"/>
      <c r="G100" s="46"/>
      <c r="H100" s="74"/>
      <c r="I100" s="51">
        <f t="shared" si="1"/>
        <v>0</v>
      </c>
    </row>
    <row r="101" spans="1:9" ht="21" customHeight="1">
      <c r="A101" s="60"/>
      <c r="B101" s="26" t="s">
        <v>215</v>
      </c>
      <c r="C101" s="26" t="s">
        <v>344</v>
      </c>
      <c r="D101" s="12">
        <v>60006644654</v>
      </c>
      <c r="E101" s="30" t="s">
        <v>216</v>
      </c>
      <c r="F101" s="85">
        <f>215/2</f>
        <v>107.5</v>
      </c>
      <c r="G101" s="47">
        <v>0</v>
      </c>
      <c r="H101" s="75">
        <v>0</v>
      </c>
      <c r="I101" s="92">
        <f t="shared" si="1"/>
        <v>107.5</v>
      </c>
    </row>
    <row r="102" spans="1:9" ht="21" customHeight="1">
      <c r="A102" s="60"/>
      <c r="B102" s="26" t="s">
        <v>217</v>
      </c>
      <c r="C102" s="93"/>
      <c r="D102" s="12">
        <v>60007182237</v>
      </c>
      <c r="E102" s="30" t="s">
        <v>218</v>
      </c>
      <c r="F102" s="84"/>
      <c r="G102" s="46"/>
      <c r="H102" s="74"/>
      <c r="I102" s="51">
        <f t="shared" si="1"/>
        <v>0</v>
      </c>
    </row>
    <row r="103" spans="1:9" ht="21" customHeight="1">
      <c r="A103" s="60"/>
      <c r="B103" s="26" t="s">
        <v>219</v>
      </c>
      <c r="C103" s="26" t="s">
        <v>354</v>
      </c>
      <c r="D103" s="12">
        <v>60007843211</v>
      </c>
      <c r="E103" s="30" t="s">
        <v>220</v>
      </c>
      <c r="F103" s="84"/>
      <c r="G103" s="46"/>
      <c r="H103" s="74"/>
      <c r="I103" s="51">
        <f t="shared" si="1"/>
        <v>0</v>
      </c>
    </row>
    <row r="104" spans="1:9" ht="21" customHeight="1">
      <c r="A104" s="60"/>
      <c r="B104" s="26" t="s">
        <v>221</v>
      </c>
      <c r="C104" s="26" t="s">
        <v>355</v>
      </c>
      <c r="D104" s="12">
        <v>60007843225</v>
      </c>
      <c r="E104" s="30" t="s">
        <v>222</v>
      </c>
      <c r="F104" s="84"/>
      <c r="G104" s="46"/>
      <c r="H104" s="74"/>
      <c r="I104" s="51">
        <f t="shared" si="1"/>
        <v>0</v>
      </c>
    </row>
    <row r="105" spans="1:9" ht="21" customHeight="1">
      <c r="A105" s="60"/>
      <c r="B105" s="26" t="s">
        <v>223</v>
      </c>
      <c r="C105" s="26" t="s">
        <v>347</v>
      </c>
      <c r="D105" s="12">
        <v>60007211343</v>
      </c>
      <c r="E105" s="30" t="s">
        <v>224</v>
      </c>
      <c r="F105" s="84">
        <v>0</v>
      </c>
      <c r="G105" s="46">
        <v>0</v>
      </c>
      <c r="H105" s="74">
        <v>0</v>
      </c>
      <c r="I105" s="51">
        <f t="shared" si="1"/>
        <v>0</v>
      </c>
    </row>
    <row r="106" spans="1:9" ht="21" customHeight="1">
      <c r="A106" s="60"/>
      <c r="B106" s="26" t="s">
        <v>225</v>
      </c>
      <c r="C106" s="26" t="s">
        <v>346</v>
      </c>
      <c r="D106" s="12">
        <v>60007211339</v>
      </c>
      <c r="E106" s="30" t="s">
        <v>226</v>
      </c>
      <c r="F106" s="84">
        <f>339/2</f>
        <v>169.5</v>
      </c>
      <c r="G106" s="46">
        <v>0</v>
      </c>
      <c r="H106" s="74">
        <v>0</v>
      </c>
      <c r="I106" s="51">
        <f t="shared" si="1"/>
        <v>169.5</v>
      </c>
    </row>
    <row r="107" spans="1:9" ht="21" customHeight="1">
      <c r="A107" s="60"/>
      <c r="B107" s="26" t="s">
        <v>227</v>
      </c>
      <c r="C107" s="26" t="s">
        <v>291</v>
      </c>
      <c r="D107" s="12">
        <v>60007239731</v>
      </c>
      <c r="E107" s="30" t="s">
        <v>228</v>
      </c>
      <c r="F107" s="84">
        <f>1097/2</f>
        <v>548.5</v>
      </c>
      <c r="G107" s="46">
        <v>0</v>
      </c>
      <c r="H107" s="74">
        <v>0</v>
      </c>
      <c r="I107" s="51">
        <f t="shared" si="1"/>
        <v>548.5</v>
      </c>
    </row>
    <row r="108" spans="1:9" ht="21" customHeight="1">
      <c r="A108" s="60"/>
      <c r="B108" s="26" t="s">
        <v>229</v>
      </c>
      <c r="C108" s="26" t="s">
        <v>348</v>
      </c>
      <c r="D108" s="12">
        <v>60007483419</v>
      </c>
      <c r="E108" s="30" t="s">
        <v>230</v>
      </c>
      <c r="F108" s="84">
        <f>203/2</f>
        <v>101.5</v>
      </c>
      <c r="G108" s="46">
        <v>0</v>
      </c>
      <c r="H108" s="74">
        <v>0</v>
      </c>
      <c r="I108" s="51">
        <f t="shared" si="1"/>
        <v>101.5</v>
      </c>
    </row>
    <row r="109" spans="1:9" ht="21" customHeight="1">
      <c r="A109" s="60"/>
      <c r="B109" s="26" t="s">
        <v>231</v>
      </c>
      <c r="C109" s="26" t="s">
        <v>301</v>
      </c>
      <c r="D109" s="12">
        <v>60006579638</v>
      </c>
      <c r="E109" s="30" t="s">
        <v>232</v>
      </c>
      <c r="F109" s="84"/>
      <c r="G109" s="46"/>
      <c r="H109" s="74"/>
      <c r="I109" s="51">
        <f t="shared" si="1"/>
        <v>0</v>
      </c>
    </row>
    <row r="110" spans="1:9" ht="21" customHeight="1">
      <c r="A110" s="60"/>
      <c r="B110" s="26" t="s">
        <v>233</v>
      </c>
      <c r="C110" s="26" t="s">
        <v>349</v>
      </c>
      <c r="D110" s="12">
        <v>60006579657</v>
      </c>
      <c r="E110" s="30" t="s">
        <v>234</v>
      </c>
      <c r="F110" s="84"/>
      <c r="G110" s="46"/>
      <c r="H110" s="74"/>
      <c r="I110" s="51">
        <f t="shared" si="1"/>
        <v>0</v>
      </c>
    </row>
    <row r="111" spans="1:9" ht="21" customHeight="1">
      <c r="A111" s="60"/>
      <c r="B111" s="26" t="s">
        <v>235</v>
      </c>
      <c r="C111" s="93"/>
      <c r="D111" s="12">
        <v>60006579676</v>
      </c>
      <c r="E111" s="30" t="s">
        <v>236</v>
      </c>
      <c r="F111" s="84"/>
      <c r="G111" s="46"/>
      <c r="H111" s="74"/>
      <c r="I111" s="51">
        <f t="shared" si="1"/>
        <v>0</v>
      </c>
    </row>
    <row r="112" spans="1:9" ht="21" customHeight="1">
      <c r="A112" s="60"/>
      <c r="B112" s="26" t="s">
        <v>237</v>
      </c>
      <c r="C112" s="26" t="s">
        <v>351</v>
      </c>
      <c r="D112" s="12">
        <v>60007631681</v>
      </c>
      <c r="E112" s="30" t="s">
        <v>238</v>
      </c>
      <c r="F112" s="84"/>
      <c r="G112" s="46"/>
      <c r="H112" s="74"/>
      <c r="I112" s="51">
        <f t="shared" si="1"/>
        <v>0</v>
      </c>
    </row>
    <row r="113" spans="1:9" ht="21" customHeight="1">
      <c r="A113" s="60"/>
      <c r="B113" s="26" t="s">
        <v>239</v>
      </c>
      <c r="C113" s="26" t="s">
        <v>357</v>
      </c>
      <c r="D113" s="12">
        <v>60007848373</v>
      </c>
      <c r="E113" s="30" t="s">
        <v>240</v>
      </c>
      <c r="F113" s="46">
        <f>2049/2</f>
        <v>1024.5</v>
      </c>
      <c r="G113" s="46">
        <v>0</v>
      </c>
      <c r="H113" s="74">
        <v>0</v>
      </c>
      <c r="I113" s="51">
        <f t="shared" si="1"/>
        <v>1024.5</v>
      </c>
    </row>
    <row r="114" spans="1:9" ht="21" customHeight="1">
      <c r="A114" s="60"/>
      <c r="B114" s="26" t="s">
        <v>241</v>
      </c>
      <c r="C114" s="26" t="s">
        <v>338</v>
      </c>
      <c r="D114" s="12">
        <v>60006631880</v>
      </c>
      <c r="E114" s="30" t="s">
        <v>242</v>
      </c>
      <c r="F114" s="46">
        <f>120/2</f>
        <v>60</v>
      </c>
      <c r="G114" s="46">
        <v>0</v>
      </c>
      <c r="H114" s="74">
        <v>0</v>
      </c>
      <c r="I114" s="51">
        <f t="shared" si="1"/>
        <v>60</v>
      </c>
    </row>
    <row r="115" spans="1:9" ht="21" customHeight="1">
      <c r="A115" s="64"/>
      <c r="B115" s="26" t="s">
        <v>243</v>
      </c>
      <c r="C115" s="26" t="s">
        <v>320</v>
      </c>
      <c r="D115" s="12">
        <v>60006631920</v>
      </c>
      <c r="E115" s="30" t="s">
        <v>244</v>
      </c>
      <c r="F115" s="49">
        <f>404/2</f>
        <v>202</v>
      </c>
      <c r="G115" s="49">
        <v>0</v>
      </c>
      <c r="H115" s="76">
        <v>0</v>
      </c>
      <c r="I115" s="51">
        <f t="shared" si="1"/>
        <v>202</v>
      </c>
    </row>
    <row r="116" spans="1:9" ht="21" customHeight="1">
      <c r="A116" s="64"/>
      <c r="B116" s="26" t="s">
        <v>245</v>
      </c>
      <c r="C116" s="26" t="s">
        <v>340</v>
      </c>
      <c r="D116" s="12">
        <v>60006631987</v>
      </c>
      <c r="E116" s="30" t="s">
        <v>246</v>
      </c>
      <c r="F116" s="49">
        <f>3638/2</f>
        <v>1819</v>
      </c>
      <c r="G116" s="49">
        <v>0</v>
      </c>
      <c r="H116" s="76">
        <v>0</v>
      </c>
      <c r="I116" s="51">
        <f t="shared" si="1"/>
        <v>1819</v>
      </c>
    </row>
    <row r="117" spans="1:9" ht="21" customHeight="1">
      <c r="A117" s="64"/>
      <c r="B117" s="26" t="s">
        <v>247</v>
      </c>
      <c r="C117" s="26" t="s">
        <v>373</v>
      </c>
      <c r="D117" s="12">
        <v>60006632009</v>
      </c>
      <c r="E117" s="30" t="s">
        <v>248</v>
      </c>
      <c r="F117" s="49">
        <f>3654/2</f>
        <v>1827</v>
      </c>
      <c r="G117" s="49">
        <v>0</v>
      </c>
      <c r="H117" s="76">
        <v>0</v>
      </c>
      <c r="I117" s="51">
        <f t="shared" si="1"/>
        <v>1827</v>
      </c>
    </row>
    <row r="118" spans="1:9" ht="21" customHeight="1">
      <c r="A118" s="64"/>
      <c r="B118" s="26" t="s">
        <v>249</v>
      </c>
      <c r="C118" s="26" t="s">
        <v>350</v>
      </c>
      <c r="D118" s="12">
        <v>60007611240</v>
      </c>
      <c r="E118" s="30" t="s">
        <v>250</v>
      </c>
      <c r="F118" s="49">
        <f>3429/2</f>
        <v>1714.5</v>
      </c>
      <c r="G118" s="49">
        <v>0</v>
      </c>
      <c r="H118" s="76">
        <v>0</v>
      </c>
      <c r="I118" s="51">
        <f t="shared" si="1"/>
        <v>1714.5</v>
      </c>
    </row>
    <row r="119" spans="1:9" ht="21" customHeight="1">
      <c r="A119" s="64"/>
      <c r="B119" s="26" t="s">
        <v>251</v>
      </c>
      <c r="C119" s="26" t="s">
        <v>337</v>
      </c>
      <c r="D119" s="12">
        <v>60006613294</v>
      </c>
      <c r="E119" s="30" t="s">
        <v>252</v>
      </c>
      <c r="F119" s="49">
        <f>651/2</f>
        <v>325.5</v>
      </c>
      <c r="G119" s="49">
        <v>0</v>
      </c>
      <c r="H119" s="76">
        <v>0</v>
      </c>
      <c r="I119" s="51">
        <f t="shared" si="1"/>
        <v>325.5</v>
      </c>
    </row>
    <row r="120" spans="1:9" ht="21" customHeight="1">
      <c r="A120" s="64"/>
      <c r="B120" s="26" t="s">
        <v>253</v>
      </c>
      <c r="C120" s="26" t="s">
        <v>303</v>
      </c>
      <c r="D120" s="12">
        <v>60006631725</v>
      </c>
      <c r="E120" s="30" t="s">
        <v>254</v>
      </c>
      <c r="F120" s="86">
        <f>1168/2</f>
        <v>584</v>
      </c>
      <c r="G120" s="49">
        <v>0</v>
      </c>
      <c r="H120" s="76">
        <v>0</v>
      </c>
      <c r="I120" s="51">
        <f t="shared" si="1"/>
        <v>584</v>
      </c>
    </row>
    <row r="121" spans="1:9" ht="21" customHeight="1">
      <c r="A121" s="64"/>
      <c r="B121" s="26" t="s">
        <v>255</v>
      </c>
      <c r="C121" s="26" t="s">
        <v>304</v>
      </c>
      <c r="D121" s="12">
        <v>60006631818</v>
      </c>
      <c r="E121" s="30" t="s">
        <v>256</v>
      </c>
      <c r="F121" s="86"/>
      <c r="G121" s="49"/>
      <c r="H121" s="76"/>
      <c r="I121" s="51">
        <f aca="true" t="shared" si="2" ref="I121:I130">F121+G121+H121</f>
        <v>0</v>
      </c>
    </row>
    <row r="122" spans="1:9" ht="21" customHeight="1">
      <c r="A122" s="64"/>
      <c r="B122" s="25" t="s">
        <v>257</v>
      </c>
      <c r="C122" s="95"/>
      <c r="D122" s="14">
        <v>60006631824</v>
      </c>
      <c r="E122" s="45" t="s">
        <v>258</v>
      </c>
      <c r="F122" s="86">
        <f>7951*0.5</f>
        <v>3975.5</v>
      </c>
      <c r="G122" s="49">
        <v>0</v>
      </c>
      <c r="H122" s="76">
        <v>0</v>
      </c>
      <c r="I122" s="51">
        <f t="shared" si="2"/>
        <v>3975.5</v>
      </c>
    </row>
    <row r="123" spans="1:9" ht="21" customHeight="1">
      <c r="A123" s="64"/>
      <c r="B123" s="25" t="s">
        <v>259</v>
      </c>
      <c r="C123" s="25" t="s">
        <v>345</v>
      </c>
      <c r="D123" s="14">
        <v>60006872372</v>
      </c>
      <c r="E123" s="45" t="s">
        <v>260</v>
      </c>
      <c r="F123" s="86"/>
      <c r="G123" s="49"/>
      <c r="H123" s="76"/>
      <c r="I123" s="51">
        <f t="shared" si="2"/>
        <v>0</v>
      </c>
    </row>
    <row r="124" spans="1:9" ht="21" customHeight="1">
      <c r="A124" s="64"/>
      <c r="B124" s="25" t="s">
        <v>261</v>
      </c>
      <c r="C124" s="25" t="s">
        <v>321</v>
      </c>
      <c r="D124" s="14">
        <v>60006974384</v>
      </c>
      <c r="E124" s="45" t="s">
        <v>262</v>
      </c>
      <c r="F124" s="86">
        <f>925/2</f>
        <v>462.5</v>
      </c>
      <c r="G124" s="49">
        <v>0</v>
      </c>
      <c r="H124" s="76">
        <v>0</v>
      </c>
      <c r="I124" s="51">
        <f t="shared" si="2"/>
        <v>462.5</v>
      </c>
    </row>
    <row r="125" spans="1:9" ht="21" customHeight="1">
      <c r="A125" s="64"/>
      <c r="B125" s="25" t="s">
        <v>263</v>
      </c>
      <c r="C125" s="25" t="s">
        <v>368</v>
      </c>
      <c r="D125" s="14">
        <v>60006581324</v>
      </c>
      <c r="E125" s="45" t="s">
        <v>264</v>
      </c>
      <c r="F125" s="86"/>
      <c r="G125" s="49"/>
      <c r="H125" s="76"/>
      <c r="I125" s="51">
        <f t="shared" si="2"/>
        <v>0</v>
      </c>
    </row>
    <row r="126" spans="1:9" ht="21" customHeight="1">
      <c r="A126" s="64"/>
      <c r="B126" s="25" t="s">
        <v>265</v>
      </c>
      <c r="C126" s="25" t="s">
        <v>352</v>
      </c>
      <c r="D126" s="14">
        <v>60007651627</v>
      </c>
      <c r="E126" s="45" t="s">
        <v>266</v>
      </c>
      <c r="F126" s="86"/>
      <c r="G126" s="49"/>
      <c r="H126" s="76"/>
      <c r="I126" s="51">
        <f t="shared" si="2"/>
        <v>0</v>
      </c>
    </row>
    <row r="127" spans="1:9" ht="21" customHeight="1">
      <c r="A127" s="64"/>
      <c r="B127" s="25" t="s">
        <v>267</v>
      </c>
      <c r="C127" s="95"/>
      <c r="D127" s="14">
        <v>83007351147</v>
      </c>
      <c r="E127" s="45" t="s">
        <v>268</v>
      </c>
      <c r="F127" s="86"/>
      <c r="G127" s="49"/>
      <c r="H127" s="76"/>
      <c r="I127" s="51">
        <f t="shared" si="2"/>
        <v>0</v>
      </c>
    </row>
    <row r="128" spans="1:9" ht="21" customHeight="1">
      <c r="A128" s="64"/>
      <c r="B128" s="25" t="s">
        <v>269</v>
      </c>
      <c r="C128" s="25"/>
      <c r="D128" s="14">
        <v>83007705623</v>
      </c>
      <c r="E128" s="45" t="s">
        <v>270</v>
      </c>
      <c r="F128" s="86"/>
      <c r="G128" s="49"/>
      <c r="H128" s="76"/>
      <c r="I128" s="51">
        <f t="shared" si="2"/>
        <v>0</v>
      </c>
    </row>
    <row r="129" spans="1:9" ht="21" customHeight="1">
      <c r="A129" s="64"/>
      <c r="B129" s="25" t="s">
        <v>271</v>
      </c>
      <c r="C129" s="25"/>
      <c r="D129" s="14">
        <v>83007812488</v>
      </c>
      <c r="E129" s="45" t="s">
        <v>272</v>
      </c>
      <c r="F129" s="86"/>
      <c r="G129" s="49"/>
      <c r="H129" s="76"/>
      <c r="I129" s="51">
        <f t="shared" si="2"/>
        <v>0</v>
      </c>
    </row>
    <row r="130" spans="1:9" ht="21" customHeight="1">
      <c r="A130" s="64"/>
      <c r="B130" s="25" t="s">
        <v>273</v>
      </c>
      <c r="C130" s="25"/>
      <c r="D130" s="14">
        <v>83007946440</v>
      </c>
      <c r="E130" s="45" t="s">
        <v>274</v>
      </c>
      <c r="F130" s="86"/>
      <c r="G130" s="49"/>
      <c r="H130" s="76"/>
      <c r="I130" s="51">
        <f t="shared" si="2"/>
        <v>0</v>
      </c>
    </row>
    <row r="131" spans="1:9" ht="21" customHeight="1" thickBot="1">
      <c r="A131" s="65" t="s">
        <v>0</v>
      </c>
      <c r="B131" s="66"/>
      <c r="C131" s="66"/>
      <c r="D131" s="13"/>
      <c r="E131" s="13"/>
      <c r="F131" s="69"/>
      <c r="G131" s="69"/>
      <c r="H131" s="77"/>
      <c r="I131" s="70">
        <f>SUM(I8:I130)</f>
        <v>49438.166666666664</v>
      </c>
    </row>
    <row r="132" ht="13.5" thickTop="1"/>
  </sheetData>
  <sheetProtection/>
  <mergeCells count="3">
    <mergeCell ref="F2:I2"/>
    <mergeCell ref="G3:I3"/>
    <mergeCell ref="F4:I4"/>
  </mergeCells>
  <printOptions horizontalCentered="1"/>
  <pageMargins left="0.3937007874015748" right="0.3937007874015748" top="0.5905511811023623" bottom="0.5905511811023623" header="0" footer="0"/>
  <pageSetup fitToHeight="0" fitToWidth="1" horizontalDpi="300" verticalDpi="300" orientation="portrait" paperSize="9" scale="31" r:id="rId1"/>
  <headerFooter alignWithMargins="0">
    <oddHeader>&amp;R&amp;D</oddHeader>
    <oddFooter>&amp;CPágina &amp;P de &amp;N</oddFooter>
  </headerFooter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R131"/>
  <sheetViews>
    <sheetView zoomScale="105" zoomScaleNormal="105" zoomScalePageLayoutView="0" workbookViewId="0" topLeftCell="F124">
      <selection activeCell="A54" sqref="A54:IV56"/>
    </sheetView>
  </sheetViews>
  <sheetFormatPr defaultColWidth="11.421875" defaultRowHeight="12.75"/>
  <cols>
    <col min="1" max="1" width="15.140625" style="1" customWidth="1"/>
    <col min="2" max="2" width="87.7109375" style="21" customWidth="1"/>
    <col min="3" max="3" width="105.28125" style="21" customWidth="1"/>
    <col min="4" max="4" width="21.00390625" style="1" customWidth="1"/>
    <col min="5" max="5" width="35.57421875" style="1" hidden="1" customWidth="1"/>
    <col min="6" max="6" width="17.7109375" style="2" customWidth="1"/>
    <col min="7" max="7" width="16.8515625" style="2" customWidth="1"/>
    <col min="8" max="8" width="13.7109375" style="2" customWidth="1"/>
    <col min="9" max="9" width="23.8515625" style="2" customWidth="1"/>
    <col min="10" max="10" width="19.140625" style="1" customWidth="1"/>
    <col min="11" max="11" width="11.57421875" style="1" bestFit="1" customWidth="1"/>
    <col min="12" max="16384" width="11.421875" style="1" customWidth="1"/>
  </cols>
  <sheetData>
    <row r="1" ht="15.75" customHeight="1"/>
    <row r="2" spans="7:9" ht="42.75" customHeight="1">
      <c r="G2" s="96" t="s">
        <v>9</v>
      </c>
      <c r="H2" s="96"/>
      <c r="I2" s="96"/>
    </row>
    <row r="3" spans="8:9" ht="33.75" customHeight="1">
      <c r="H3" s="97"/>
      <c r="I3" s="97"/>
    </row>
    <row r="4" spans="7:9" ht="21.75" customHeight="1">
      <c r="G4" s="98" t="s">
        <v>114</v>
      </c>
      <c r="H4" s="98"/>
      <c r="I4" s="98"/>
    </row>
    <row r="5" ht="15.75" customHeight="1"/>
    <row r="6" spans="1:8" ht="15.75" customHeight="1" thickBot="1">
      <c r="A6" s="3"/>
      <c r="B6" s="22"/>
      <c r="C6" s="22"/>
      <c r="D6" s="3"/>
      <c r="E6" s="3"/>
      <c r="F6" s="4"/>
      <c r="G6" s="4"/>
      <c r="H6" s="4"/>
    </row>
    <row r="7" spans="1:9" ht="21" customHeight="1" thickTop="1">
      <c r="A7" s="5" t="s">
        <v>1</v>
      </c>
      <c r="B7" s="23" t="s">
        <v>3</v>
      </c>
      <c r="C7" s="23" t="s">
        <v>285</v>
      </c>
      <c r="D7" s="11" t="s">
        <v>2</v>
      </c>
      <c r="E7" s="16" t="s">
        <v>11</v>
      </c>
      <c r="F7" s="6" t="s">
        <v>6</v>
      </c>
      <c r="G7" s="6" t="s">
        <v>7</v>
      </c>
      <c r="H7" s="6" t="s">
        <v>8</v>
      </c>
      <c r="I7" s="7" t="s">
        <v>0</v>
      </c>
    </row>
    <row r="8" spans="1:9" ht="21" customHeight="1">
      <c r="A8" s="27"/>
      <c r="B8" s="72" t="s">
        <v>15</v>
      </c>
      <c r="C8" s="72" t="s">
        <v>316</v>
      </c>
      <c r="D8" s="12">
        <v>83006884161</v>
      </c>
      <c r="E8" s="30" t="s">
        <v>16</v>
      </c>
      <c r="F8" s="8">
        <v>214.65</v>
      </c>
      <c r="G8" s="8">
        <v>5.87</v>
      </c>
      <c r="H8" s="8">
        <v>1.32</v>
      </c>
      <c r="I8" s="9">
        <f aca="true" t="shared" si="0" ref="I8:I58">SUM(F8:H8)</f>
        <v>221.84</v>
      </c>
    </row>
    <row r="9" spans="1:9" ht="21" customHeight="1">
      <c r="A9" s="27"/>
      <c r="B9" s="26" t="s">
        <v>17</v>
      </c>
      <c r="C9" s="26" t="s">
        <v>314</v>
      </c>
      <c r="D9" s="12">
        <v>83001699293</v>
      </c>
      <c r="E9" s="30" t="s">
        <v>19</v>
      </c>
      <c r="F9" s="8">
        <v>302.82</v>
      </c>
      <c r="G9" s="8">
        <v>8.92</v>
      </c>
      <c r="H9" s="8">
        <v>0.36</v>
      </c>
      <c r="I9" s="9">
        <f t="shared" si="0"/>
        <v>312.1</v>
      </c>
    </row>
    <row r="10" spans="1:9" ht="21" customHeight="1">
      <c r="A10" s="27"/>
      <c r="B10" s="26" t="s">
        <v>18</v>
      </c>
      <c r="C10" s="26" t="s">
        <v>324</v>
      </c>
      <c r="D10" s="12">
        <v>83002793469</v>
      </c>
      <c r="E10" s="30" t="s">
        <v>20</v>
      </c>
      <c r="F10" s="8">
        <v>665.61</v>
      </c>
      <c r="G10" s="8">
        <v>18.84</v>
      </c>
      <c r="H10" s="8">
        <v>2.64</v>
      </c>
      <c r="I10" s="9">
        <f t="shared" si="0"/>
        <v>687.09</v>
      </c>
    </row>
    <row r="11" spans="1:9" ht="21" customHeight="1">
      <c r="A11" s="27"/>
      <c r="B11" s="26" t="s">
        <v>21</v>
      </c>
      <c r="C11" s="26" t="s">
        <v>365</v>
      </c>
      <c r="D11" s="12">
        <v>83005319585</v>
      </c>
      <c r="E11" s="30" t="s">
        <v>22</v>
      </c>
      <c r="F11" s="8">
        <v>192.1</v>
      </c>
      <c r="G11" s="8">
        <v>5.18</v>
      </c>
      <c r="H11" s="8">
        <v>1.37</v>
      </c>
      <c r="I11" s="9">
        <f t="shared" si="0"/>
        <v>198.65</v>
      </c>
    </row>
    <row r="12" spans="1:9" ht="21" customHeight="1">
      <c r="A12" s="27"/>
      <c r="B12" s="26" t="s">
        <v>23</v>
      </c>
      <c r="C12" s="26" t="s">
        <v>325</v>
      </c>
      <c r="D12" s="61">
        <v>999395654431</v>
      </c>
      <c r="E12" s="30" t="s">
        <v>24</v>
      </c>
      <c r="F12" s="8">
        <v>1233.49</v>
      </c>
      <c r="G12" s="8">
        <v>35.87</v>
      </c>
      <c r="H12" s="8">
        <v>2.64</v>
      </c>
      <c r="I12" s="9">
        <f t="shared" si="0"/>
        <v>1272</v>
      </c>
    </row>
    <row r="13" spans="1:9" ht="21" customHeight="1">
      <c r="A13" s="27"/>
      <c r="B13" s="26" t="s">
        <v>25</v>
      </c>
      <c r="C13" s="26" t="s">
        <v>315</v>
      </c>
      <c r="D13" s="61">
        <v>999395655454</v>
      </c>
      <c r="E13" s="30" t="s">
        <v>26</v>
      </c>
      <c r="F13" s="8">
        <v>621.05</v>
      </c>
      <c r="G13" s="8">
        <v>17.5</v>
      </c>
      <c r="H13" s="8">
        <v>2.64</v>
      </c>
      <c r="I13" s="9">
        <f t="shared" si="0"/>
        <v>641.1899999999999</v>
      </c>
    </row>
    <row r="14" spans="1:9" ht="21" customHeight="1">
      <c r="A14" s="27"/>
      <c r="B14" s="26" t="s">
        <v>27</v>
      </c>
      <c r="C14" s="26" t="s">
        <v>326</v>
      </c>
      <c r="D14" s="61">
        <v>512012286</v>
      </c>
      <c r="E14" s="30" t="s">
        <v>28</v>
      </c>
      <c r="F14" s="8">
        <v>728.38</v>
      </c>
      <c r="G14" s="8">
        <v>20.72</v>
      </c>
      <c r="H14" s="8">
        <v>2.64</v>
      </c>
      <c r="I14" s="9">
        <f t="shared" si="0"/>
        <v>751.74</v>
      </c>
    </row>
    <row r="15" spans="1:9" ht="21" customHeight="1">
      <c r="A15" s="27"/>
      <c r="B15" s="26" t="s">
        <v>29</v>
      </c>
      <c r="C15" s="26" t="s">
        <v>327</v>
      </c>
      <c r="D15" s="61">
        <v>999395659634</v>
      </c>
      <c r="E15" s="30" t="s">
        <v>30</v>
      </c>
      <c r="F15" s="8">
        <v>679.44</v>
      </c>
      <c r="G15" s="8">
        <v>20.14</v>
      </c>
      <c r="H15" s="8">
        <v>0.58</v>
      </c>
      <c r="I15" s="9">
        <f t="shared" si="0"/>
        <v>700.1600000000001</v>
      </c>
    </row>
    <row r="16" spans="1:9" ht="21" customHeight="1">
      <c r="A16" s="27"/>
      <c r="B16" s="26" t="s">
        <v>31</v>
      </c>
      <c r="C16" s="26" t="s">
        <v>317</v>
      </c>
      <c r="D16" s="61">
        <v>999395660462</v>
      </c>
      <c r="E16" s="30" t="s">
        <v>32</v>
      </c>
      <c r="F16" s="8">
        <v>361.08</v>
      </c>
      <c r="G16" s="8">
        <v>10.23</v>
      </c>
      <c r="H16" s="8">
        <v>1.41</v>
      </c>
      <c r="I16" s="9">
        <f t="shared" si="0"/>
        <v>372.72</v>
      </c>
    </row>
    <row r="17" spans="1:9" ht="21" customHeight="1">
      <c r="A17" s="27"/>
      <c r="B17" s="26" t="s">
        <v>33</v>
      </c>
      <c r="C17" s="26" t="s">
        <v>366</v>
      </c>
      <c r="D17" s="61">
        <v>999395662284</v>
      </c>
      <c r="E17" s="30" t="s">
        <v>34</v>
      </c>
      <c r="F17" s="8">
        <v>1377.23</v>
      </c>
      <c r="G17" s="8">
        <v>40.71</v>
      </c>
      <c r="H17" s="8">
        <v>1.41</v>
      </c>
      <c r="I17" s="9">
        <f t="shared" si="0"/>
        <v>1419.3500000000001</v>
      </c>
    </row>
    <row r="18" spans="1:9" ht="21" customHeight="1">
      <c r="A18" s="27"/>
      <c r="B18" s="26" t="s">
        <v>35</v>
      </c>
      <c r="C18" s="26" t="s">
        <v>292</v>
      </c>
      <c r="D18" s="61">
        <v>999395662947</v>
      </c>
      <c r="E18" s="30" t="s">
        <v>36</v>
      </c>
      <c r="F18" s="8"/>
      <c r="G18" s="8"/>
      <c r="H18" s="8"/>
      <c r="I18" s="9">
        <f t="shared" si="0"/>
        <v>0</v>
      </c>
    </row>
    <row r="19" spans="1:9" ht="21" customHeight="1">
      <c r="A19" s="27"/>
      <c r="B19" s="26" t="s">
        <v>37</v>
      </c>
      <c r="C19" s="26" t="s">
        <v>369</v>
      </c>
      <c r="D19" s="61">
        <v>999395663410</v>
      </c>
      <c r="E19" s="30" t="s">
        <v>38</v>
      </c>
      <c r="F19" s="8">
        <v>499.14</v>
      </c>
      <c r="G19" s="8">
        <v>14.39</v>
      </c>
      <c r="H19" s="8">
        <v>1.37</v>
      </c>
      <c r="I19" s="9">
        <f t="shared" si="0"/>
        <v>514.9</v>
      </c>
    </row>
    <row r="20" spans="1:9" ht="21" customHeight="1">
      <c r="A20" s="27"/>
      <c r="B20" s="26" t="s">
        <v>39</v>
      </c>
      <c r="C20" s="26" t="s">
        <v>293</v>
      </c>
      <c r="D20" s="61">
        <v>999395665004</v>
      </c>
      <c r="E20" s="30" t="s">
        <v>40</v>
      </c>
      <c r="F20" s="8"/>
      <c r="G20" s="8"/>
      <c r="H20" s="8"/>
      <c r="I20" s="9">
        <f t="shared" si="0"/>
        <v>0</v>
      </c>
    </row>
    <row r="21" spans="1:9" ht="21" customHeight="1">
      <c r="A21" s="27"/>
      <c r="B21" s="26" t="s">
        <v>41</v>
      </c>
      <c r="C21" s="26" t="s">
        <v>367</v>
      </c>
      <c r="D21" s="61">
        <v>999395665500</v>
      </c>
      <c r="E21" s="30" t="s">
        <v>42</v>
      </c>
      <c r="F21" s="8">
        <v>584.24</v>
      </c>
      <c r="G21" s="8">
        <v>16.92</v>
      </c>
      <c r="H21" s="8">
        <v>1.41</v>
      </c>
      <c r="I21" s="9">
        <f t="shared" si="0"/>
        <v>602.5699999999999</v>
      </c>
    </row>
    <row r="22" spans="1:9" ht="21" customHeight="1">
      <c r="A22" s="27"/>
      <c r="B22" s="26" t="s">
        <v>43</v>
      </c>
      <c r="C22" s="93"/>
      <c r="D22" s="61">
        <v>999395674678</v>
      </c>
      <c r="E22" s="30" t="s">
        <v>44</v>
      </c>
      <c r="F22" s="8">
        <v>190.32</v>
      </c>
      <c r="G22" s="8">
        <v>5.14</v>
      </c>
      <c r="H22" s="8">
        <v>1.32</v>
      </c>
      <c r="I22" s="9">
        <f t="shared" si="0"/>
        <v>196.77999999999997</v>
      </c>
    </row>
    <row r="23" spans="1:9" s="19" customFormat="1" ht="21" customHeight="1">
      <c r="A23" s="27"/>
      <c r="B23" s="26" t="s">
        <v>45</v>
      </c>
      <c r="C23" s="26" t="s">
        <v>307</v>
      </c>
      <c r="D23" s="61">
        <v>999395675751</v>
      </c>
      <c r="E23" s="30" t="s">
        <v>46</v>
      </c>
      <c r="F23" s="8">
        <v>505.69</v>
      </c>
      <c r="G23" s="8">
        <v>14.59</v>
      </c>
      <c r="H23" s="8">
        <v>1.37</v>
      </c>
      <c r="I23" s="9">
        <f t="shared" si="0"/>
        <v>521.65</v>
      </c>
    </row>
    <row r="24" spans="1:9" s="19" customFormat="1" ht="21" customHeight="1">
      <c r="A24" s="27"/>
      <c r="B24" s="26" t="s">
        <v>47</v>
      </c>
      <c r="C24" s="26" t="s">
        <v>318</v>
      </c>
      <c r="D24" s="61">
        <v>999395676257</v>
      </c>
      <c r="E24" s="30" t="s">
        <v>48</v>
      </c>
      <c r="F24" s="8">
        <v>229.84</v>
      </c>
      <c r="G24" s="8">
        <v>6.31</v>
      </c>
      <c r="H24" s="8">
        <v>1.37</v>
      </c>
      <c r="I24" s="9">
        <f t="shared" si="0"/>
        <v>237.52</v>
      </c>
    </row>
    <row r="25" spans="1:9" ht="21" customHeight="1">
      <c r="A25" s="27"/>
      <c r="B25" s="26" t="s">
        <v>49</v>
      </c>
      <c r="C25" s="26" t="s">
        <v>328</v>
      </c>
      <c r="D25" s="61">
        <v>999395676905</v>
      </c>
      <c r="E25" s="30" t="s">
        <v>50</v>
      </c>
      <c r="F25" s="82">
        <v>231.23</v>
      </c>
      <c r="G25" s="82">
        <v>6.39</v>
      </c>
      <c r="H25" s="82">
        <v>1.28</v>
      </c>
      <c r="I25" s="83">
        <f t="shared" si="0"/>
        <v>238.89999999999998</v>
      </c>
    </row>
    <row r="26" spans="1:9" ht="21" customHeight="1">
      <c r="A26" s="27"/>
      <c r="B26" s="26" t="s">
        <v>51</v>
      </c>
      <c r="C26" s="93"/>
      <c r="D26" s="61">
        <v>999395677339</v>
      </c>
      <c r="E26" s="30" t="s">
        <v>52</v>
      </c>
      <c r="F26" s="8">
        <v>442.71</v>
      </c>
      <c r="G26" s="8">
        <v>12.72</v>
      </c>
      <c r="H26" s="8">
        <v>1.32</v>
      </c>
      <c r="I26" s="9">
        <f t="shared" si="0"/>
        <v>456.75</v>
      </c>
    </row>
    <row r="27" spans="1:9" ht="21" customHeight="1">
      <c r="A27" s="27"/>
      <c r="B27" s="26" t="s">
        <v>53</v>
      </c>
      <c r="C27" s="93"/>
      <c r="D27" s="61">
        <v>999395680029</v>
      </c>
      <c r="E27" s="30" t="s">
        <v>54</v>
      </c>
      <c r="F27" s="8">
        <v>329.02</v>
      </c>
      <c r="G27" s="8">
        <v>9.3</v>
      </c>
      <c r="H27" s="8">
        <v>1.32</v>
      </c>
      <c r="I27" s="9">
        <f t="shared" si="0"/>
        <v>339.64</v>
      </c>
    </row>
    <row r="28" spans="1:9" ht="21" customHeight="1">
      <c r="A28" s="27"/>
      <c r="B28" s="26" t="s">
        <v>55</v>
      </c>
      <c r="C28" s="26" t="s">
        <v>294</v>
      </c>
      <c r="D28" s="61">
        <v>999395682858</v>
      </c>
      <c r="E28" s="30" t="s">
        <v>56</v>
      </c>
      <c r="F28" s="8"/>
      <c r="G28" s="8"/>
      <c r="H28" s="8"/>
      <c r="I28" s="9">
        <f t="shared" si="0"/>
        <v>0</v>
      </c>
    </row>
    <row r="29" spans="1:9" ht="21" customHeight="1">
      <c r="A29" s="27"/>
      <c r="B29" s="26" t="s">
        <v>57</v>
      </c>
      <c r="C29" s="26" t="s">
        <v>295</v>
      </c>
      <c r="D29" s="12">
        <v>512095448</v>
      </c>
      <c r="E29" s="30" t="s">
        <v>58</v>
      </c>
      <c r="F29" s="8"/>
      <c r="G29" s="8"/>
      <c r="H29" s="8"/>
      <c r="I29" s="9">
        <f t="shared" si="0"/>
        <v>0</v>
      </c>
    </row>
    <row r="30" spans="1:9" ht="21" customHeight="1">
      <c r="A30" s="27"/>
      <c r="B30" s="26" t="s">
        <v>59</v>
      </c>
      <c r="C30" s="26" t="s">
        <v>296</v>
      </c>
      <c r="D30" s="61">
        <v>999395695033</v>
      </c>
      <c r="E30" s="30" t="s">
        <v>60</v>
      </c>
      <c r="F30" s="8">
        <v>293.215</v>
      </c>
      <c r="G30" s="8">
        <v>8.675</v>
      </c>
      <c r="H30" s="8">
        <v>0.29</v>
      </c>
      <c r="I30" s="9">
        <f t="shared" si="0"/>
        <v>302.18</v>
      </c>
    </row>
    <row r="31" spans="1:9" ht="21" customHeight="1">
      <c r="A31" s="27"/>
      <c r="B31" s="26" t="s">
        <v>61</v>
      </c>
      <c r="C31" s="26" t="s">
        <v>296</v>
      </c>
      <c r="D31" s="61">
        <v>999395696742</v>
      </c>
      <c r="E31" s="30" t="s">
        <v>62</v>
      </c>
      <c r="F31" s="8">
        <v>484.705</v>
      </c>
      <c r="G31" s="8">
        <v>14.42</v>
      </c>
      <c r="H31" s="8">
        <v>0.29</v>
      </c>
      <c r="I31" s="9">
        <f t="shared" si="0"/>
        <v>499.415</v>
      </c>
    </row>
    <row r="32" spans="1:9" ht="21" customHeight="1">
      <c r="A32" s="27"/>
      <c r="B32" s="26" t="s">
        <v>63</v>
      </c>
      <c r="C32" s="26" t="s">
        <v>308</v>
      </c>
      <c r="D32" s="61">
        <v>999395697615</v>
      </c>
      <c r="E32" s="30" t="s">
        <v>64</v>
      </c>
      <c r="F32" s="8">
        <f>945.05/2</f>
        <v>472.525</v>
      </c>
      <c r="G32" s="8">
        <f>27.99/2</f>
        <v>13.995</v>
      </c>
      <c r="H32" s="8">
        <f>0.84/2</f>
        <v>0.42</v>
      </c>
      <c r="I32" s="9">
        <f t="shared" si="0"/>
        <v>486.94</v>
      </c>
    </row>
    <row r="33" spans="1:9" ht="21" customHeight="1">
      <c r="A33" s="27"/>
      <c r="B33" s="26" t="s">
        <v>65</v>
      </c>
      <c r="C33" s="26" t="s">
        <v>297</v>
      </c>
      <c r="D33" s="61">
        <v>999395698321</v>
      </c>
      <c r="E33" s="30" t="s">
        <v>66</v>
      </c>
      <c r="F33" s="8">
        <f>888.19/2</f>
        <v>444.095</v>
      </c>
      <c r="G33" s="8">
        <f>26.3/2</f>
        <v>13.15</v>
      </c>
      <c r="H33" s="8">
        <f>0.8/2</f>
        <v>0.4</v>
      </c>
      <c r="I33" s="9">
        <f t="shared" si="0"/>
        <v>457.645</v>
      </c>
    </row>
    <row r="34" spans="1:12" s="20" customFormat="1" ht="21" customHeight="1">
      <c r="A34" s="27"/>
      <c r="B34" s="26" t="s">
        <v>67</v>
      </c>
      <c r="C34" s="26" t="s">
        <v>309</v>
      </c>
      <c r="D34" s="62">
        <v>999395698661</v>
      </c>
      <c r="E34" s="31" t="s">
        <v>68</v>
      </c>
      <c r="F34" s="18">
        <f>418.78/2</f>
        <v>209.39</v>
      </c>
      <c r="G34" s="18">
        <f>12.22/2</f>
        <v>6.11</v>
      </c>
      <c r="H34" s="18">
        <f>0.8/2</f>
        <v>0.4</v>
      </c>
      <c r="I34" s="9">
        <f t="shared" si="0"/>
        <v>215.9</v>
      </c>
      <c r="J34" s="19"/>
      <c r="K34" s="19"/>
      <c r="L34" s="19"/>
    </row>
    <row r="35" spans="1:12" ht="21" customHeight="1">
      <c r="A35" s="27"/>
      <c r="B35" s="26" t="s">
        <v>69</v>
      </c>
      <c r="C35" s="26"/>
      <c r="D35" s="61">
        <v>999395699042</v>
      </c>
      <c r="E35" s="30" t="s">
        <v>70</v>
      </c>
      <c r="F35" s="8">
        <f>875.65/2</f>
        <v>437.825</v>
      </c>
      <c r="G35" s="8">
        <f>25.92/2</f>
        <v>12.96</v>
      </c>
      <c r="H35" s="8">
        <f>0.83/2</f>
        <v>0.415</v>
      </c>
      <c r="I35" s="9">
        <f t="shared" si="0"/>
        <v>451.2</v>
      </c>
      <c r="J35" s="19"/>
      <c r="K35" s="19"/>
      <c r="L35" s="19"/>
    </row>
    <row r="36" spans="1:12" ht="21" customHeight="1">
      <c r="A36" s="27"/>
      <c r="B36" s="26" t="s">
        <v>71</v>
      </c>
      <c r="C36" s="93"/>
      <c r="D36" s="61">
        <v>999395699192</v>
      </c>
      <c r="E36" s="30" t="s">
        <v>72</v>
      </c>
      <c r="F36" s="18">
        <f>411.1/2</f>
        <v>205.55</v>
      </c>
      <c r="G36" s="18">
        <f>11.98/2</f>
        <v>5.99</v>
      </c>
      <c r="H36" s="18">
        <f>0.83/2</f>
        <v>0.415</v>
      </c>
      <c r="I36" s="87">
        <f t="shared" si="0"/>
        <v>211.955</v>
      </c>
      <c r="J36" s="19"/>
      <c r="K36" s="19"/>
      <c r="L36" s="19"/>
    </row>
    <row r="37" spans="1:12" ht="21" customHeight="1">
      <c r="A37" s="27"/>
      <c r="B37" s="26" t="s">
        <v>73</v>
      </c>
      <c r="C37" s="93"/>
      <c r="D37" s="61">
        <v>999395699382</v>
      </c>
      <c r="E37" s="30" t="s">
        <v>74</v>
      </c>
      <c r="F37" s="8">
        <f>436.35/2</f>
        <v>218.175</v>
      </c>
      <c r="G37" s="8">
        <f>12.74/2</f>
        <v>6.37</v>
      </c>
      <c r="H37" s="8">
        <f>0.81/2</f>
        <v>0.405</v>
      </c>
      <c r="I37" s="9">
        <f t="shared" si="0"/>
        <v>224.95000000000002</v>
      </c>
      <c r="J37" s="19"/>
      <c r="K37" s="19"/>
      <c r="L37" s="19"/>
    </row>
    <row r="38" spans="1:12" ht="21" customHeight="1">
      <c r="A38" s="27"/>
      <c r="B38" s="26" t="s">
        <v>75</v>
      </c>
      <c r="C38" s="26" t="s">
        <v>298</v>
      </c>
      <c r="D38" s="61">
        <v>999395699631</v>
      </c>
      <c r="E38" s="30" t="s">
        <v>76</v>
      </c>
      <c r="F38" s="8">
        <f>158.37/2</f>
        <v>79.185</v>
      </c>
      <c r="G38" s="8">
        <f>4.4/2</f>
        <v>2.2</v>
      </c>
      <c r="H38" s="8">
        <f>0.83/2</f>
        <v>0.415</v>
      </c>
      <c r="I38" s="9">
        <f t="shared" si="0"/>
        <v>81.80000000000001</v>
      </c>
      <c r="J38" s="19"/>
      <c r="K38" s="19"/>
      <c r="L38" s="19"/>
    </row>
    <row r="39" spans="1:12" ht="21" customHeight="1">
      <c r="A39" s="27"/>
      <c r="B39" s="26" t="s">
        <v>77</v>
      </c>
      <c r="C39" s="93"/>
      <c r="D39" s="61">
        <v>999395699855</v>
      </c>
      <c r="E39" s="30" t="s">
        <v>78</v>
      </c>
      <c r="F39" s="8">
        <f>334.97/2</f>
        <v>167.485</v>
      </c>
      <c r="G39" s="8">
        <f>9.72/2</f>
        <v>4.86</v>
      </c>
      <c r="H39" s="8">
        <f>0.78/2</f>
        <v>0.39</v>
      </c>
      <c r="I39" s="9">
        <f t="shared" si="0"/>
        <v>172.735</v>
      </c>
      <c r="J39" s="19"/>
      <c r="K39" s="19"/>
      <c r="L39" s="19"/>
    </row>
    <row r="40" spans="1:12" ht="21" customHeight="1">
      <c r="A40" s="27"/>
      <c r="B40" s="26" t="s">
        <v>79</v>
      </c>
      <c r="C40" s="26" t="s">
        <v>299</v>
      </c>
      <c r="D40" s="61">
        <v>999395699914</v>
      </c>
      <c r="E40" s="30" t="s">
        <v>80</v>
      </c>
      <c r="F40" s="8">
        <f>630.45/2</f>
        <v>315.225</v>
      </c>
      <c r="G40" s="8">
        <f>18.54/2</f>
        <v>9.27</v>
      </c>
      <c r="H40" s="8">
        <f>0.87/2</f>
        <v>0.435</v>
      </c>
      <c r="I40" s="9">
        <f t="shared" si="0"/>
        <v>324.93</v>
      </c>
      <c r="J40" s="19"/>
      <c r="K40" s="19"/>
      <c r="L40" s="19"/>
    </row>
    <row r="41" spans="1:12" ht="21" customHeight="1">
      <c r="A41" s="27"/>
      <c r="B41" s="26" t="s">
        <v>81</v>
      </c>
      <c r="C41" s="26" t="s">
        <v>329</v>
      </c>
      <c r="D41" s="61">
        <v>999395720675</v>
      </c>
      <c r="E41" s="30" t="s">
        <v>82</v>
      </c>
      <c r="F41" s="8">
        <f>1009.23/2</f>
        <v>504.615</v>
      </c>
      <c r="G41" s="8">
        <f>29.93/2</f>
        <v>14.965</v>
      </c>
      <c r="H41" s="8">
        <f>0.8/2</f>
        <v>0.4</v>
      </c>
      <c r="I41" s="9">
        <f t="shared" si="0"/>
        <v>519.98</v>
      </c>
      <c r="J41" s="19"/>
      <c r="K41" s="19"/>
      <c r="L41" s="19"/>
    </row>
    <row r="42" spans="1:12" ht="21" customHeight="1">
      <c r="A42" s="27"/>
      <c r="B42" s="26" t="s">
        <v>83</v>
      </c>
      <c r="C42" s="26" t="s">
        <v>300</v>
      </c>
      <c r="D42" s="61">
        <v>999395721493</v>
      </c>
      <c r="E42" s="30" t="s">
        <v>84</v>
      </c>
      <c r="F42" s="8">
        <f>555.82/2</f>
        <v>277.91</v>
      </c>
      <c r="G42" s="8">
        <f>16.31/2</f>
        <v>8.155</v>
      </c>
      <c r="H42" s="8">
        <f>0.85/2</f>
        <v>0.425</v>
      </c>
      <c r="I42" s="9">
        <f t="shared" si="0"/>
        <v>286.49</v>
      </c>
      <c r="J42" s="19"/>
      <c r="K42" s="19"/>
      <c r="L42" s="19"/>
    </row>
    <row r="43" spans="1:12" ht="21" customHeight="1">
      <c r="A43" s="27"/>
      <c r="B43" s="26" t="s">
        <v>85</v>
      </c>
      <c r="C43" s="26"/>
      <c r="D43" s="61">
        <v>999395728957</v>
      </c>
      <c r="E43" s="30" t="s">
        <v>86</v>
      </c>
      <c r="F43" s="8">
        <f>274.51/2</f>
        <v>137.255</v>
      </c>
      <c r="G43" s="8">
        <f>7.89/2</f>
        <v>3.945</v>
      </c>
      <c r="H43" s="8">
        <f>0.81/2</f>
        <v>0.405</v>
      </c>
      <c r="I43" s="9">
        <f t="shared" si="0"/>
        <v>141.605</v>
      </c>
      <c r="J43" s="19"/>
      <c r="K43" s="19"/>
      <c r="L43" s="19"/>
    </row>
    <row r="44" spans="1:12" ht="21" customHeight="1">
      <c r="A44" s="27"/>
      <c r="B44" s="26" t="s">
        <v>87</v>
      </c>
      <c r="C44" s="26" t="s">
        <v>330</v>
      </c>
      <c r="D44" s="61">
        <v>999395729357</v>
      </c>
      <c r="E44" s="30" t="s">
        <v>88</v>
      </c>
      <c r="F44" s="8">
        <f>296.67/2</f>
        <v>148.335</v>
      </c>
      <c r="G44" s="8">
        <f>8.55/2</f>
        <v>4.275</v>
      </c>
      <c r="H44" s="8">
        <f>0.83/2</f>
        <v>0.415</v>
      </c>
      <c r="I44" s="9">
        <f t="shared" si="0"/>
        <v>153.025</v>
      </c>
      <c r="J44" s="19"/>
      <c r="K44" s="19"/>
      <c r="L44" s="19"/>
    </row>
    <row r="45" spans="1:12" ht="21" customHeight="1">
      <c r="A45" s="27"/>
      <c r="B45" s="26" t="s">
        <v>89</v>
      </c>
      <c r="C45" s="93"/>
      <c r="D45" s="61">
        <v>999395729815</v>
      </c>
      <c r="E45" s="30" t="s">
        <v>90</v>
      </c>
      <c r="F45" s="8">
        <f>301.82/2</f>
        <v>150.91</v>
      </c>
      <c r="G45" s="8">
        <f>8.72/2</f>
        <v>4.36</v>
      </c>
      <c r="H45" s="8">
        <f>0.78/2</f>
        <v>0.39</v>
      </c>
      <c r="I45" s="9">
        <f t="shared" si="0"/>
        <v>155.66</v>
      </c>
      <c r="J45" s="19"/>
      <c r="K45" s="19"/>
      <c r="L45" s="19"/>
    </row>
    <row r="46" spans="1:12" ht="21" customHeight="1">
      <c r="A46" s="27"/>
      <c r="B46" s="26" t="s">
        <v>94</v>
      </c>
      <c r="C46" s="26" t="s">
        <v>331</v>
      </c>
      <c r="D46" s="61">
        <v>999395730546</v>
      </c>
      <c r="E46" s="30" t="s">
        <v>91</v>
      </c>
      <c r="F46" s="8">
        <f>165.77/2</f>
        <v>82.885</v>
      </c>
      <c r="G46" s="8">
        <f>4.64/2</f>
        <v>2.32</v>
      </c>
      <c r="H46" s="8">
        <f>0.78/2</f>
        <v>0.39</v>
      </c>
      <c r="I46" s="9">
        <f t="shared" si="0"/>
        <v>85.595</v>
      </c>
      <c r="J46" s="19"/>
      <c r="K46" s="19"/>
      <c r="L46" s="19"/>
    </row>
    <row r="47" spans="1:12" ht="21" customHeight="1">
      <c r="A47" s="27"/>
      <c r="B47" s="26" t="s">
        <v>92</v>
      </c>
      <c r="C47" s="26" t="s">
        <v>319</v>
      </c>
      <c r="D47" s="61">
        <v>999395731005</v>
      </c>
      <c r="E47" s="32" t="s">
        <v>93</v>
      </c>
      <c r="F47" s="8">
        <f>357.16/2</f>
        <v>178.58</v>
      </c>
      <c r="G47" s="8">
        <f>10.37/2</f>
        <v>5.185</v>
      </c>
      <c r="H47" s="8">
        <f>0.81/2</f>
        <v>0.405</v>
      </c>
      <c r="I47" s="9">
        <f t="shared" si="0"/>
        <v>184.17000000000002</v>
      </c>
      <c r="J47" s="19"/>
      <c r="K47" s="19"/>
      <c r="L47" s="19"/>
    </row>
    <row r="48" spans="1:12" ht="21" customHeight="1">
      <c r="A48" s="27"/>
      <c r="B48" s="26" t="s">
        <v>95</v>
      </c>
      <c r="C48" s="93"/>
      <c r="D48" s="61">
        <v>999395731797</v>
      </c>
      <c r="E48" s="30" t="s">
        <v>96</v>
      </c>
      <c r="F48" s="8">
        <f>128.1/2</f>
        <v>64.05</v>
      </c>
      <c r="G48" s="8">
        <f>3.48/2</f>
        <v>1.74</v>
      </c>
      <c r="H48" s="8">
        <f>0.84/2</f>
        <v>0.42</v>
      </c>
      <c r="I48" s="9">
        <f t="shared" si="0"/>
        <v>66.21</v>
      </c>
      <c r="J48" s="19"/>
      <c r="K48" s="19"/>
      <c r="L48" s="19"/>
    </row>
    <row r="49" spans="1:12" ht="21" customHeight="1">
      <c r="A49" s="27"/>
      <c r="B49" s="26" t="s">
        <v>97</v>
      </c>
      <c r="C49" s="26"/>
      <c r="D49" s="61">
        <v>999395850272</v>
      </c>
      <c r="E49" s="30" t="s">
        <v>98</v>
      </c>
      <c r="F49" s="8">
        <v>506.94</v>
      </c>
      <c r="G49" s="8">
        <v>14.64</v>
      </c>
      <c r="H49" s="8">
        <v>1.32</v>
      </c>
      <c r="I49" s="9">
        <f t="shared" si="0"/>
        <v>522.9000000000001</v>
      </c>
      <c r="J49" s="19"/>
      <c r="K49" s="19"/>
      <c r="L49" s="19"/>
    </row>
    <row r="50" spans="1:12" ht="21" customHeight="1">
      <c r="A50" s="27"/>
      <c r="B50" s="26" t="s">
        <v>99</v>
      </c>
      <c r="C50" s="93"/>
      <c r="D50" s="61">
        <v>999395869847</v>
      </c>
      <c r="E50" s="30" t="s">
        <v>100</v>
      </c>
      <c r="F50" s="8">
        <v>419.29</v>
      </c>
      <c r="G50" s="8">
        <v>12.34</v>
      </c>
      <c r="H50" s="8">
        <v>0.57</v>
      </c>
      <c r="I50" s="9">
        <f t="shared" si="0"/>
        <v>432.2</v>
      </c>
      <c r="J50" s="19"/>
      <c r="K50" s="19"/>
      <c r="L50" s="19"/>
    </row>
    <row r="51" spans="1:12" ht="21" customHeight="1">
      <c r="A51" s="27"/>
      <c r="B51" s="26" t="s">
        <v>101</v>
      </c>
      <c r="C51" s="26" t="s">
        <v>371</v>
      </c>
      <c r="D51" s="12">
        <v>83007836944</v>
      </c>
      <c r="E51" s="30" t="s">
        <v>102</v>
      </c>
      <c r="F51" s="8"/>
      <c r="G51" s="8"/>
      <c r="H51" s="8"/>
      <c r="I51" s="9">
        <f t="shared" si="0"/>
        <v>0</v>
      </c>
      <c r="J51" s="19"/>
      <c r="K51" s="19"/>
      <c r="L51" s="19"/>
    </row>
    <row r="52" spans="1:12" ht="21" customHeight="1">
      <c r="A52" s="27"/>
      <c r="B52" s="26" t="s">
        <v>103</v>
      </c>
      <c r="C52" s="26" t="s">
        <v>286</v>
      </c>
      <c r="D52" s="61">
        <v>999418107083</v>
      </c>
      <c r="E52" s="30" t="s">
        <v>104</v>
      </c>
      <c r="F52" s="8">
        <f>786.1/2</f>
        <v>393.05</v>
      </c>
      <c r="G52" s="8">
        <f>23.25/2</f>
        <v>11.625</v>
      </c>
      <c r="H52" s="8">
        <f>0.78/2</f>
        <v>0.39</v>
      </c>
      <c r="I52" s="9">
        <f t="shared" si="0"/>
        <v>405.065</v>
      </c>
      <c r="J52" s="19"/>
      <c r="K52" s="19"/>
      <c r="L52" s="19"/>
    </row>
    <row r="53" spans="1:12" ht="21" customHeight="1">
      <c r="A53" s="27"/>
      <c r="B53" s="26" t="s">
        <v>105</v>
      </c>
      <c r="C53" s="26" t="s">
        <v>332</v>
      </c>
      <c r="D53" s="61">
        <v>999418108530</v>
      </c>
      <c r="E53" s="30" t="s">
        <v>106</v>
      </c>
      <c r="F53" s="8">
        <v>252.97</v>
      </c>
      <c r="G53" s="8">
        <v>7.02</v>
      </c>
      <c r="H53" s="8">
        <v>1.32</v>
      </c>
      <c r="I53" s="9">
        <f t="shared" si="0"/>
        <v>261.31</v>
      </c>
      <c r="J53" s="19"/>
      <c r="K53" s="19"/>
      <c r="L53" s="19"/>
    </row>
    <row r="54" spans="1:12" ht="21" customHeight="1">
      <c r="A54" s="27"/>
      <c r="B54" s="26" t="s">
        <v>107</v>
      </c>
      <c r="C54" s="26" t="s">
        <v>302</v>
      </c>
      <c r="D54" s="61">
        <v>999444028261</v>
      </c>
      <c r="E54" s="30" t="s">
        <v>108</v>
      </c>
      <c r="F54" s="8">
        <v>124.21</v>
      </c>
      <c r="G54" s="8">
        <v>3.16</v>
      </c>
      <c r="H54" s="8">
        <v>1.32</v>
      </c>
      <c r="I54" s="9">
        <f t="shared" si="0"/>
        <v>128.69</v>
      </c>
      <c r="J54" s="19"/>
      <c r="K54" s="19"/>
      <c r="L54" s="19"/>
    </row>
    <row r="55" spans="1:12" ht="21" customHeight="1">
      <c r="A55" s="27"/>
      <c r="B55" s="26" t="s">
        <v>109</v>
      </c>
      <c r="C55" s="26" t="s">
        <v>313</v>
      </c>
      <c r="D55" s="12">
        <v>83000769293</v>
      </c>
      <c r="E55" s="30" t="s">
        <v>110</v>
      </c>
      <c r="F55" s="8">
        <v>302.69</v>
      </c>
      <c r="G55" s="8">
        <v>8.48</v>
      </c>
      <c r="H55" s="8">
        <v>1.41</v>
      </c>
      <c r="I55" s="9">
        <f t="shared" si="0"/>
        <v>312.58000000000004</v>
      </c>
      <c r="J55" s="19"/>
      <c r="K55" s="19"/>
      <c r="L55" s="19"/>
    </row>
    <row r="56" spans="1:12" s="29" customFormat="1" ht="21" customHeight="1">
      <c r="A56" s="27"/>
      <c r="B56" s="35" t="s">
        <v>125</v>
      </c>
      <c r="C56" s="94"/>
      <c r="D56" s="36">
        <v>60006203645</v>
      </c>
      <c r="E56" s="37" t="s">
        <v>126</v>
      </c>
      <c r="F56" s="8">
        <v>19.08</v>
      </c>
      <c r="G56" s="8">
        <v>0.55</v>
      </c>
      <c r="H56" s="8">
        <v>0.06</v>
      </c>
      <c r="I56" s="9">
        <f t="shared" si="0"/>
        <v>19.689999999999998</v>
      </c>
      <c r="J56" s="19"/>
      <c r="K56" s="19"/>
      <c r="L56" s="19"/>
    </row>
    <row r="57" spans="1:12" ht="21" customHeight="1">
      <c r="A57" s="27"/>
      <c r="B57" s="26" t="s">
        <v>127</v>
      </c>
      <c r="C57" s="93"/>
      <c r="D57" s="12">
        <v>60007966411</v>
      </c>
      <c r="E57" s="30" t="s">
        <v>128</v>
      </c>
      <c r="F57" s="8">
        <v>79.04</v>
      </c>
      <c r="G57" s="8">
        <v>2.34</v>
      </c>
      <c r="H57" s="8">
        <v>0.06</v>
      </c>
      <c r="I57" s="9">
        <f t="shared" si="0"/>
        <v>81.44000000000001</v>
      </c>
      <c r="J57" s="19"/>
      <c r="K57" s="19"/>
      <c r="L57" s="19"/>
    </row>
    <row r="58" spans="1:12" ht="21" customHeight="1">
      <c r="A58" s="27"/>
      <c r="B58" s="26" t="s">
        <v>129</v>
      </c>
      <c r="C58" s="26" t="s">
        <v>289</v>
      </c>
      <c r="D58" s="12">
        <v>60006643135</v>
      </c>
      <c r="E58" s="30" t="s">
        <v>130</v>
      </c>
      <c r="F58" s="8">
        <f>105.24/2</f>
        <v>52.62</v>
      </c>
      <c r="G58" s="8">
        <f>3.12/2</f>
        <v>1.56</v>
      </c>
      <c r="H58" s="8">
        <f>0.08/2</f>
        <v>0.04</v>
      </c>
      <c r="I58" s="9">
        <f t="shared" si="0"/>
        <v>54.22</v>
      </c>
      <c r="J58" s="19"/>
      <c r="K58" s="19"/>
      <c r="L58" s="19"/>
    </row>
    <row r="59" spans="1:12" ht="21" customHeight="1">
      <c r="A59" s="27"/>
      <c r="B59" s="26" t="s">
        <v>131</v>
      </c>
      <c r="C59" s="93"/>
      <c r="D59" s="12">
        <v>60007843244</v>
      </c>
      <c r="E59" s="30" t="s">
        <v>132</v>
      </c>
      <c r="F59" s="8">
        <f>108.29/2</f>
        <v>54.145</v>
      </c>
      <c r="G59" s="8">
        <f>3.22/2</f>
        <v>1.61</v>
      </c>
      <c r="H59" s="8">
        <f>0.08/2</f>
        <v>0.04</v>
      </c>
      <c r="I59" s="9">
        <f aca="true" t="shared" si="1" ref="I59:I119">SUM(F59:H59)</f>
        <v>55.795</v>
      </c>
      <c r="J59" s="19"/>
      <c r="K59" s="19"/>
      <c r="L59" s="19"/>
    </row>
    <row r="60" spans="1:12" ht="21" customHeight="1">
      <c r="A60" s="27"/>
      <c r="B60" s="26" t="s">
        <v>133</v>
      </c>
      <c r="C60" s="26" t="s">
        <v>322</v>
      </c>
      <c r="D60" s="12">
        <v>60007843069</v>
      </c>
      <c r="E60" s="30" t="s">
        <v>134</v>
      </c>
      <c r="F60" s="8">
        <f>95.05/2</f>
        <v>47.525</v>
      </c>
      <c r="G60" s="8">
        <f>2.76/2</f>
        <v>1.38</v>
      </c>
      <c r="H60" s="8">
        <f>0.22/2</f>
        <v>0.11</v>
      </c>
      <c r="I60" s="9">
        <f t="shared" si="1"/>
        <v>49.015</v>
      </c>
      <c r="J60" s="19"/>
      <c r="K60" s="19"/>
      <c r="L60" s="19"/>
    </row>
    <row r="61" spans="1:12" ht="21" customHeight="1">
      <c r="A61" s="27"/>
      <c r="B61" s="26" t="s">
        <v>135</v>
      </c>
      <c r="C61" s="26" t="s">
        <v>353</v>
      </c>
      <c r="D61" s="12">
        <v>60007843073</v>
      </c>
      <c r="E61" s="30" t="s">
        <v>136</v>
      </c>
      <c r="F61" s="8">
        <f>138.89/2</f>
        <v>69.445</v>
      </c>
      <c r="G61" s="8">
        <f>4.13/2</f>
        <v>2.065</v>
      </c>
      <c r="H61" s="8">
        <f>0.08/2</f>
        <v>0.04</v>
      </c>
      <c r="I61" s="9">
        <f t="shared" si="1"/>
        <v>71.55</v>
      </c>
      <c r="J61" s="19"/>
      <c r="K61" s="19"/>
      <c r="L61" s="19"/>
    </row>
    <row r="62" spans="1:12" ht="21" customHeight="1">
      <c r="A62" s="27"/>
      <c r="B62" s="26" t="s">
        <v>137</v>
      </c>
      <c r="C62" s="93"/>
      <c r="D62" s="12">
        <v>60007843356</v>
      </c>
      <c r="E62" s="30" t="s">
        <v>138</v>
      </c>
      <c r="F62" s="8">
        <f>40.56/2</f>
        <v>20.28</v>
      </c>
      <c r="G62" s="8">
        <f>1.18/2</f>
        <v>0.59</v>
      </c>
      <c r="H62" s="8">
        <f>0.07/2</f>
        <v>0.035</v>
      </c>
      <c r="I62" s="9">
        <f t="shared" si="1"/>
        <v>20.905</v>
      </c>
      <c r="J62" s="19"/>
      <c r="K62" s="19"/>
      <c r="L62" s="19"/>
    </row>
    <row r="63" spans="1:12" ht="21" customHeight="1">
      <c r="A63" s="27"/>
      <c r="B63" s="26" t="s">
        <v>139</v>
      </c>
      <c r="C63" s="93"/>
      <c r="D63" s="12">
        <v>60007847274</v>
      </c>
      <c r="E63" s="30" t="s">
        <v>140</v>
      </c>
      <c r="F63" s="8">
        <f>66.78/2</f>
        <v>33.39</v>
      </c>
      <c r="G63" s="8">
        <f>1.91/2</f>
        <v>0.955</v>
      </c>
      <c r="H63" s="8">
        <f>0.22/2</f>
        <v>0.11</v>
      </c>
      <c r="I63" s="9">
        <f t="shared" si="1"/>
        <v>34.455</v>
      </c>
      <c r="J63" s="19"/>
      <c r="K63" s="19"/>
      <c r="L63" s="19"/>
    </row>
    <row r="64" spans="1:12" ht="21" customHeight="1">
      <c r="A64" s="27"/>
      <c r="B64" s="26" t="s">
        <v>141</v>
      </c>
      <c r="C64" s="93"/>
      <c r="D64" s="12">
        <v>60007847482</v>
      </c>
      <c r="E64" s="30" t="s">
        <v>142</v>
      </c>
      <c r="F64" s="8">
        <v>24.98</v>
      </c>
      <c r="G64" s="8">
        <v>0.73</v>
      </c>
      <c r="H64" s="8">
        <v>0.05</v>
      </c>
      <c r="I64" s="9">
        <f t="shared" si="1"/>
        <v>25.76</v>
      </c>
      <c r="J64" s="19"/>
      <c r="K64" s="19"/>
      <c r="L64" s="19"/>
    </row>
    <row r="65" spans="1:18" s="29" customFormat="1" ht="21" customHeight="1">
      <c r="A65" s="27"/>
      <c r="B65" s="26" t="s">
        <v>143</v>
      </c>
      <c r="C65" s="26" t="s">
        <v>323</v>
      </c>
      <c r="D65" s="12">
        <v>60007858040</v>
      </c>
      <c r="E65" s="90" t="s">
        <v>144</v>
      </c>
      <c r="F65" s="8">
        <v>27.97</v>
      </c>
      <c r="G65" s="8">
        <v>0.8</v>
      </c>
      <c r="H65" s="8">
        <v>0.09</v>
      </c>
      <c r="I65" s="9">
        <f t="shared" si="1"/>
        <v>28.86</v>
      </c>
      <c r="J65" s="19"/>
      <c r="K65" s="19"/>
      <c r="L65" s="19"/>
      <c r="M65" s="19"/>
      <c r="N65" s="19"/>
      <c r="O65" s="19"/>
      <c r="P65" s="19"/>
      <c r="Q65" s="19"/>
      <c r="R65" s="19"/>
    </row>
    <row r="66" spans="1:18" s="20" customFormat="1" ht="21" customHeight="1">
      <c r="A66" s="27"/>
      <c r="B66" s="43" t="s">
        <v>145</v>
      </c>
      <c r="C66" s="43" t="s">
        <v>358</v>
      </c>
      <c r="D66" s="44">
        <v>60007889355</v>
      </c>
      <c r="E66" s="37" t="s">
        <v>146</v>
      </c>
      <c r="F66" s="18">
        <f>51.81/2</f>
        <v>25.905</v>
      </c>
      <c r="G66" s="18">
        <f>1.52/2</f>
        <v>0.76</v>
      </c>
      <c r="H66" s="18">
        <f>0.07/2</f>
        <v>0.035</v>
      </c>
      <c r="I66" s="9">
        <f t="shared" si="1"/>
        <v>26.700000000000003</v>
      </c>
      <c r="J66" s="19"/>
      <c r="K66" s="19"/>
      <c r="L66" s="19"/>
      <c r="M66" s="19"/>
      <c r="N66" s="19"/>
      <c r="O66" s="19"/>
      <c r="P66" s="19"/>
      <c r="Q66" s="19"/>
      <c r="R66" s="19"/>
    </row>
    <row r="67" spans="1:18" s="20" customFormat="1" ht="21" customHeight="1">
      <c r="A67" s="39"/>
      <c r="B67" s="41" t="s">
        <v>147</v>
      </c>
      <c r="C67" s="41" t="s">
        <v>311</v>
      </c>
      <c r="D67" s="40">
        <v>60007899611</v>
      </c>
      <c r="E67" s="42" t="s">
        <v>148</v>
      </c>
      <c r="F67" s="18">
        <v>104.63</v>
      </c>
      <c r="G67" s="18">
        <v>3.1</v>
      </c>
      <c r="H67" s="18">
        <v>0.1</v>
      </c>
      <c r="I67" s="9">
        <f t="shared" si="1"/>
        <v>107.82999999999998</v>
      </c>
      <c r="J67" s="19"/>
      <c r="K67" s="19"/>
      <c r="L67" s="19"/>
      <c r="M67" s="19"/>
      <c r="N67" s="19"/>
      <c r="O67" s="19"/>
      <c r="P67" s="19"/>
      <c r="Q67" s="19"/>
      <c r="R67" s="19"/>
    </row>
    <row r="68" spans="1:18" ht="21" customHeight="1">
      <c r="A68" s="27"/>
      <c r="B68" s="26" t="s">
        <v>149</v>
      </c>
      <c r="C68" s="93"/>
      <c r="D68" s="12">
        <v>60008073286</v>
      </c>
      <c r="E68" s="30" t="s">
        <v>150</v>
      </c>
      <c r="F68" s="8">
        <f>19.17/2</f>
        <v>9.585</v>
      </c>
      <c r="G68" s="8">
        <f>0.48/2</f>
        <v>0.24</v>
      </c>
      <c r="H68" s="8">
        <f>0.23/2</f>
        <v>0.115</v>
      </c>
      <c r="I68" s="9">
        <f t="shared" si="1"/>
        <v>9.940000000000001</v>
      </c>
      <c r="J68" s="19"/>
      <c r="K68" s="19"/>
      <c r="L68" s="19"/>
      <c r="M68" s="19"/>
      <c r="N68" s="19"/>
      <c r="O68" s="19"/>
      <c r="P68" s="19"/>
      <c r="Q68" s="19"/>
      <c r="R68" s="19"/>
    </row>
    <row r="69" spans="1:12" ht="21" customHeight="1">
      <c r="A69" s="27"/>
      <c r="B69" s="26" t="s">
        <v>151</v>
      </c>
      <c r="C69" s="26"/>
      <c r="D69" s="12">
        <v>60008101006</v>
      </c>
      <c r="E69" s="30" t="s">
        <v>152</v>
      </c>
      <c r="F69" s="8">
        <f>41.37/2</f>
        <v>20.685</v>
      </c>
      <c r="G69" s="8">
        <f>1.19/2</f>
        <v>0.595</v>
      </c>
      <c r="H69" s="8">
        <f>0.13/2</f>
        <v>0.065</v>
      </c>
      <c r="I69" s="9">
        <f t="shared" si="1"/>
        <v>21.345</v>
      </c>
      <c r="J69" s="19"/>
      <c r="K69" s="19"/>
      <c r="L69" s="19"/>
    </row>
    <row r="70" spans="1:12" ht="21" customHeight="1">
      <c r="A70" s="27"/>
      <c r="B70" s="26" t="s">
        <v>153</v>
      </c>
      <c r="C70" s="26" t="s">
        <v>359</v>
      </c>
      <c r="D70" s="12">
        <v>60008115357</v>
      </c>
      <c r="E70" s="30" t="s">
        <v>154</v>
      </c>
      <c r="F70" s="8">
        <v>59.22</v>
      </c>
      <c r="G70" s="8">
        <v>1.75</v>
      </c>
      <c r="H70" s="8">
        <v>0.05</v>
      </c>
      <c r="I70" s="9">
        <f t="shared" si="1"/>
        <v>61.019999999999996</v>
      </c>
      <c r="J70" s="19"/>
      <c r="K70" s="19"/>
      <c r="L70" s="19"/>
    </row>
    <row r="71" spans="1:12" ht="21" customHeight="1">
      <c r="A71" s="27"/>
      <c r="B71" s="26" t="s">
        <v>155</v>
      </c>
      <c r="C71" s="26" t="s">
        <v>312</v>
      </c>
      <c r="D71" s="12">
        <v>60008450632</v>
      </c>
      <c r="E71" s="30" t="s">
        <v>156</v>
      </c>
      <c r="F71" s="8">
        <v>16.45</v>
      </c>
      <c r="G71" s="8">
        <v>0.48</v>
      </c>
      <c r="H71" s="8">
        <v>0.03</v>
      </c>
      <c r="I71" s="9">
        <f t="shared" si="1"/>
        <v>16.96</v>
      </c>
      <c r="J71" s="19"/>
      <c r="K71" s="19"/>
      <c r="L71" s="19"/>
    </row>
    <row r="72" spans="1:12" ht="21" customHeight="1">
      <c r="A72" s="27"/>
      <c r="B72" s="26" t="s">
        <v>157</v>
      </c>
      <c r="C72" s="26" t="s">
        <v>360</v>
      </c>
      <c r="D72" s="12">
        <v>60008427213</v>
      </c>
      <c r="E72" s="30" t="s">
        <v>158</v>
      </c>
      <c r="F72" s="8">
        <f>54.33/2</f>
        <v>27.165</v>
      </c>
      <c r="G72" s="8">
        <f>1.6/2</f>
        <v>0.8</v>
      </c>
      <c r="H72" s="8">
        <f>0.08/2</f>
        <v>0.04</v>
      </c>
      <c r="I72" s="9">
        <f t="shared" si="1"/>
        <v>28.005</v>
      </c>
      <c r="J72" s="19"/>
      <c r="K72" s="19"/>
      <c r="L72" s="19"/>
    </row>
    <row r="73" spans="1:12" ht="21" customHeight="1">
      <c r="A73" s="27"/>
      <c r="B73" s="26" t="s">
        <v>159</v>
      </c>
      <c r="C73" s="26" t="s">
        <v>361</v>
      </c>
      <c r="D73" s="12">
        <v>60008475541</v>
      </c>
      <c r="E73" s="30" t="s">
        <v>160</v>
      </c>
      <c r="F73" s="8">
        <f>168.79/2</f>
        <v>84.395</v>
      </c>
      <c r="G73" s="8">
        <f>5.03/2</f>
        <v>2.515</v>
      </c>
      <c r="H73" s="8">
        <f>0.08/2</f>
        <v>0.04</v>
      </c>
      <c r="I73" s="9">
        <f t="shared" si="1"/>
        <v>86.95</v>
      </c>
      <c r="J73" s="19"/>
      <c r="K73" s="19"/>
      <c r="L73" s="19"/>
    </row>
    <row r="74" spans="1:12" ht="21" customHeight="1">
      <c r="A74" s="27"/>
      <c r="B74" s="26" t="s">
        <v>161</v>
      </c>
      <c r="C74" s="93"/>
      <c r="D74" s="12">
        <v>60008368817</v>
      </c>
      <c r="E74" s="30" t="s">
        <v>162</v>
      </c>
      <c r="F74" s="8">
        <v>33.29</v>
      </c>
      <c r="G74" s="8">
        <v>0.97</v>
      </c>
      <c r="H74" s="8">
        <v>0.06</v>
      </c>
      <c r="I74" s="9">
        <f t="shared" si="1"/>
        <v>34.32</v>
      </c>
      <c r="J74" s="19"/>
      <c r="K74" s="19"/>
      <c r="L74" s="19"/>
    </row>
    <row r="75" spans="1:12" ht="21" customHeight="1">
      <c r="A75" s="27"/>
      <c r="B75" s="26" t="s">
        <v>163</v>
      </c>
      <c r="C75" s="26" t="s">
        <v>372</v>
      </c>
      <c r="D75" s="12">
        <v>60091069643</v>
      </c>
      <c r="E75" s="30" t="s">
        <v>164</v>
      </c>
      <c r="F75" s="8"/>
      <c r="G75" s="8"/>
      <c r="H75" s="8"/>
      <c r="I75" s="9">
        <f t="shared" si="1"/>
        <v>0</v>
      </c>
      <c r="J75" s="19"/>
      <c r="K75" s="19"/>
      <c r="L75" s="19"/>
    </row>
    <row r="76" spans="1:12" ht="21" customHeight="1">
      <c r="A76" s="27"/>
      <c r="B76" s="26" t="s">
        <v>165</v>
      </c>
      <c r="C76" s="26" t="s">
        <v>363</v>
      </c>
      <c r="D76" s="12">
        <v>60089709450</v>
      </c>
      <c r="E76" s="30" t="s">
        <v>166</v>
      </c>
      <c r="F76" s="8">
        <f>63.02/2</f>
        <v>31.51</v>
      </c>
      <c r="G76" s="8">
        <f>1.86/2</f>
        <v>0.93</v>
      </c>
      <c r="H76" s="8">
        <f>0.08/2</f>
        <v>0.04</v>
      </c>
      <c r="I76" s="9">
        <f t="shared" si="1"/>
        <v>32.480000000000004</v>
      </c>
      <c r="J76" s="19"/>
      <c r="K76" s="19"/>
      <c r="L76" s="19"/>
    </row>
    <row r="77" spans="1:12" ht="21" customHeight="1">
      <c r="A77" s="27"/>
      <c r="B77" s="26" t="s">
        <v>167</v>
      </c>
      <c r="C77" s="26" t="s">
        <v>362</v>
      </c>
      <c r="D77" s="12">
        <v>60089553056</v>
      </c>
      <c r="E77" s="30" t="s">
        <v>168</v>
      </c>
      <c r="F77" s="8">
        <f>545.98/2</f>
        <v>272.99</v>
      </c>
      <c r="G77" s="8">
        <f>16.28/2</f>
        <v>8.14</v>
      </c>
      <c r="H77" s="8">
        <f>0.22/2</f>
        <v>0.11</v>
      </c>
      <c r="I77" s="9">
        <f t="shared" si="1"/>
        <v>281.24</v>
      </c>
      <c r="J77" s="19"/>
      <c r="K77" s="19"/>
      <c r="L77" s="19"/>
    </row>
    <row r="78" spans="1:12" s="20" customFormat="1" ht="21" customHeight="1">
      <c r="A78" s="27"/>
      <c r="B78" s="26" t="s">
        <v>169</v>
      </c>
      <c r="C78" s="26" t="s">
        <v>364</v>
      </c>
      <c r="D78" s="17">
        <v>60090692774</v>
      </c>
      <c r="E78" s="31" t="s">
        <v>170</v>
      </c>
      <c r="F78" s="18">
        <v>21.72</v>
      </c>
      <c r="G78" s="18">
        <v>0.63</v>
      </c>
      <c r="H78" s="18">
        <v>0.05</v>
      </c>
      <c r="I78" s="9">
        <f t="shared" si="1"/>
        <v>22.4</v>
      </c>
      <c r="J78" s="19"/>
      <c r="K78" s="19"/>
      <c r="L78" s="19"/>
    </row>
    <row r="79" spans="1:12" ht="21" customHeight="1">
      <c r="A79" s="27"/>
      <c r="B79" s="26" t="s">
        <v>171</v>
      </c>
      <c r="C79" s="93"/>
      <c r="D79" s="12">
        <v>60006579681</v>
      </c>
      <c r="E79" s="30" t="s">
        <v>172</v>
      </c>
      <c r="F79" s="8">
        <v>20.97</v>
      </c>
      <c r="G79" s="8">
        <v>0.6</v>
      </c>
      <c r="H79" s="8">
        <v>0.06</v>
      </c>
      <c r="I79" s="9">
        <f t="shared" si="1"/>
        <v>21.63</v>
      </c>
      <c r="J79" s="19"/>
      <c r="K79" s="19"/>
      <c r="L79" s="19"/>
    </row>
    <row r="80" spans="1:12" ht="21" customHeight="1">
      <c r="A80" s="27"/>
      <c r="B80" s="26" t="s">
        <v>173</v>
      </c>
      <c r="C80" s="26" t="s">
        <v>333</v>
      </c>
      <c r="D80" s="12">
        <v>60006586696</v>
      </c>
      <c r="E80" s="30" t="s">
        <v>174</v>
      </c>
      <c r="F80" s="8">
        <f>210.07/2</f>
        <v>105.035</v>
      </c>
      <c r="G80" s="8">
        <f>6.21/2</f>
        <v>3.105</v>
      </c>
      <c r="H80" s="8">
        <f>0.22/2</f>
        <v>0.11</v>
      </c>
      <c r="I80" s="9">
        <f t="shared" si="1"/>
        <v>108.25</v>
      </c>
      <c r="J80" s="19"/>
      <c r="K80" s="19"/>
      <c r="L80" s="19"/>
    </row>
    <row r="81" spans="1:12" s="20" customFormat="1" ht="21" customHeight="1">
      <c r="A81" s="27"/>
      <c r="B81" s="26" t="s">
        <v>175</v>
      </c>
      <c r="C81" s="93"/>
      <c r="D81" s="17">
        <v>60006586704</v>
      </c>
      <c r="E81" s="31" t="s">
        <v>176</v>
      </c>
      <c r="F81" s="18">
        <f>29.46/2</f>
        <v>14.73</v>
      </c>
      <c r="G81" s="18">
        <f>0.85/2</f>
        <v>0.425</v>
      </c>
      <c r="H81" s="18">
        <f>0.08/2</f>
        <v>0.04</v>
      </c>
      <c r="I81" s="9">
        <f t="shared" si="1"/>
        <v>15.195</v>
      </c>
      <c r="J81" s="19"/>
      <c r="K81" s="19"/>
      <c r="L81" s="19"/>
    </row>
    <row r="82" spans="1:12" s="29" customFormat="1" ht="21" customHeight="1">
      <c r="A82" s="27"/>
      <c r="B82" s="26" t="s">
        <v>177</v>
      </c>
      <c r="C82" s="26" t="s">
        <v>370</v>
      </c>
      <c r="D82" s="12">
        <v>60006587652</v>
      </c>
      <c r="E82" s="33" t="s">
        <v>178</v>
      </c>
      <c r="F82" s="15">
        <f>190.67/2</f>
        <v>95.335</v>
      </c>
      <c r="G82" s="15">
        <f>5.63/2</f>
        <v>2.815</v>
      </c>
      <c r="H82" s="15">
        <f>0.22/2</f>
        <v>0.11</v>
      </c>
      <c r="I82" s="9">
        <f t="shared" si="1"/>
        <v>98.25999999999999</v>
      </c>
      <c r="J82" s="19"/>
      <c r="K82" s="19"/>
      <c r="L82" s="19"/>
    </row>
    <row r="83" spans="1:9" ht="21" customHeight="1">
      <c r="A83" s="27"/>
      <c r="B83" s="26" t="s">
        <v>179</v>
      </c>
      <c r="C83" s="26" t="s">
        <v>334</v>
      </c>
      <c r="D83" s="12">
        <v>60006587671</v>
      </c>
      <c r="E83" s="30" t="s">
        <v>180</v>
      </c>
      <c r="F83" s="8">
        <f>159.71/2</f>
        <v>79.855</v>
      </c>
      <c r="G83" s="8">
        <f>4.7/2</f>
        <v>2.35</v>
      </c>
      <c r="H83" s="8">
        <f>0.22/2</f>
        <v>0.11</v>
      </c>
      <c r="I83" s="9">
        <f t="shared" si="1"/>
        <v>82.315</v>
      </c>
    </row>
    <row r="84" spans="1:9" ht="21" customHeight="1">
      <c r="A84" s="27"/>
      <c r="B84" s="26" t="s">
        <v>181</v>
      </c>
      <c r="C84" s="26" t="s">
        <v>335</v>
      </c>
      <c r="D84" s="12">
        <v>60006593566</v>
      </c>
      <c r="E84" s="30" t="s">
        <v>182</v>
      </c>
      <c r="F84" s="8">
        <f>118.47/2</f>
        <v>59.235</v>
      </c>
      <c r="G84" s="8">
        <f>3.52/2</f>
        <v>1.76</v>
      </c>
      <c r="H84" s="8">
        <f>0.08/2</f>
        <v>0.04</v>
      </c>
      <c r="I84" s="9">
        <f t="shared" si="1"/>
        <v>61.035</v>
      </c>
    </row>
    <row r="85" spans="1:9" ht="21" customHeight="1">
      <c r="A85" s="27"/>
      <c r="B85" s="26" t="s">
        <v>183</v>
      </c>
      <c r="C85" s="26" t="s">
        <v>336</v>
      </c>
      <c r="D85" s="12">
        <v>60006601563</v>
      </c>
      <c r="E85" s="30" t="s">
        <v>184</v>
      </c>
      <c r="F85" s="8">
        <f>113.21/2</f>
        <v>56.605</v>
      </c>
      <c r="G85" s="8">
        <f>3.4/2</f>
        <v>1.7</v>
      </c>
      <c r="H85" s="8">
        <v>0</v>
      </c>
      <c r="I85" s="9">
        <f t="shared" si="1"/>
        <v>58.305</v>
      </c>
    </row>
    <row r="86" spans="1:9" ht="21" customHeight="1">
      <c r="A86" s="27"/>
      <c r="B86" s="26" t="s">
        <v>185</v>
      </c>
      <c r="C86" s="26" t="s">
        <v>310</v>
      </c>
      <c r="D86" s="12">
        <v>60006630551</v>
      </c>
      <c r="E86" s="30" t="s">
        <v>186</v>
      </c>
      <c r="F86" s="8">
        <f>206.58/2</f>
        <v>103.29</v>
      </c>
      <c r="G86" s="8">
        <f>6.1/2</f>
        <v>3.05</v>
      </c>
      <c r="H86" s="8">
        <f>0.22/2</f>
        <v>0.11</v>
      </c>
      <c r="I86" s="9">
        <f t="shared" si="1"/>
        <v>106.45</v>
      </c>
    </row>
    <row r="87" spans="1:9" ht="21" customHeight="1">
      <c r="A87" s="27"/>
      <c r="B87" s="26" t="s">
        <v>187</v>
      </c>
      <c r="C87" s="26" t="s">
        <v>287</v>
      </c>
      <c r="D87" s="12">
        <v>60006631759</v>
      </c>
      <c r="E87" s="30" t="s">
        <v>188</v>
      </c>
      <c r="F87" s="8">
        <f>103.35/2</f>
        <v>51.675</v>
      </c>
      <c r="G87" s="8">
        <f>3.07/2</f>
        <v>1.535</v>
      </c>
      <c r="H87" s="8">
        <f>0.08/2</f>
        <v>0.04</v>
      </c>
      <c r="I87" s="9">
        <f t="shared" si="1"/>
        <v>53.24999999999999</v>
      </c>
    </row>
    <row r="88" spans="1:9" ht="21" customHeight="1">
      <c r="A88" s="27"/>
      <c r="B88" s="26" t="s">
        <v>189</v>
      </c>
      <c r="C88" s="26" t="s">
        <v>339</v>
      </c>
      <c r="D88" s="12">
        <v>60006631974</v>
      </c>
      <c r="E88" s="30" t="s">
        <v>190</v>
      </c>
      <c r="F88" s="8">
        <f>980.3/3</f>
        <v>326.76666666666665</v>
      </c>
      <c r="G88" s="8">
        <f>29.36/3</f>
        <v>9.786666666666667</v>
      </c>
      <c r="H88" s="8">
        <f>0.12/3</f>
        <v>0.04</v>
      </c>
      <c r="I88" s="9">
        <f t="shared" si="1"/>
        <v>336.59333333333336</v>
      </c>
    </row>
    <row r="89" spans="1:9" ht="21" customHeight="1">
      <c r="A89" s="27"/>
      <c r="B89" s="26" t="s">
        <v>191</v>
      </c>
      <c r="C89" s="26" t="s">
        <v>356</v>
      </c>
      <c r="D89" s="12">
        <v>60007843337</v>
      </c>
      <c r="E89" s="30" t="s">
        <v>192</v>
      </c>
      <c r="F89" s="8">
        <f>192.95/2</f>
        <v>96.475</v>
      </c>
      <c r="G89" s="8">
        <f>5.75/2</f>
        <v>2.875</v>
      </c>
      <c r="H89" s="8">
        <f>0.08/2</f>
        <v>0.04</v>
      </c>
      <c r="I89" s="9">
        <f t="shared" si="1"/>
        <v>99.39</v>
      </c>
    </row>
    <row r="90" spans="1:9" ht="21" customHeight="1">
      <c r="A90" s="27"/>
      <c r="B90" s="26" t="s">
        <v>193</v>
      </c>
      <c r="C90" s="26" t="s">
        <v>305</v>
      </c>
      <c r="D90" s="12">
        <v>60006631992</v>
      </c>
      <c r="E90" s="30" t="s">
        <v>194</v>
      </c>
      <c r="F90" s="8">
        <v>156.94</v>
      </c>
      <c r="G90" s="8">
        <v>4.68</v>
      </c>
      <c r="H90" s="8">
        <v>0.07</v>
      </c>
      <c r="I90" s="9">
        <f t="shared" si="1"/>
        <v>161.69</v>
      </c>
    </row>
    <row r="91" spans="1:9" ht="21" customHeight="1">
      <c r="A91" s="27"/>
      <c r="B91" s="26" t="s">
        <v>195</v>
      </c>
      <c r="C91" s="26" t="s">
        <v>341</v>
      </c>
      <c r="D91" s="12">
        <v>60006632013</v>
      </c>
      <c r="E91" s="30" t="s">
        <v>196</v>
      </c>
      <c r="F91" s="8">
        <f>9.99/2</f>
        <v>4.995</v>
      </c>
      <c r="G91" s="8">
        <f>0.27/2</f>
        <v>0.135</v>
      </c>
      <c r="H91" s="8">
        <f>0.08/2</f>
        <v>0.04</v>
      </c>
      <c r="I91" s="9">
        <f t="shared" si="1"/>
        <v>5.17</v>
      </c>
    </row>
    <row r="92" spans="1:9" ht="21" customHeight="1">
      <c r="A92" s="27"/>
      <c r="B92" s="26" t="s">
        <v>197</v>
      </c>
      <c r="C92" s="26" t="s">
        <v>288</v>
      </c>
      <c r="D92" s="12">
        <v>60006632028</v>
      </c>
      <c r="E92" s="30" t="s">
        <v>198</v>
      </c>
      <c r="F92" s="8">
        <f>628.43/2</f>
        <v>314.215</v>
      </c>
      <c r="G92" s="8">
        <f>18.76/2</f>
        <v>9.38</v>
      </c>
      <c r="H92" s="8">
        <f>0.23/2</f>
        <v>0.115</v>
      </c>
      <c r="I92" s="9">
        <f t="shared" si="1"/>
        <v>323.71</v>
      </c>
    </row>
    <row r="93" spans="1:9" ht="21" customHeight="1">
      <c r="A93" s="27"/>
      <c r="B93" s="26" t="s">
        <v>199</v>
      </c>
      <c r="C93" s="26" t="s">
        <v>342</v>
      </c>
      <c r="D93" s="12">
        <v>60006632034</v>
      </c>
      <c r="E93" s="30" t="s">
        <v>200</v>
      </c>
      <c r="F93" s="8">
        <f>64.85/2</f>
        <v>32.425</v>
      </c>
      <c r="G93" s="8">
        <f>1.91/2</f>
        <v>0.955</v>
      </c>
      <c r="H93" s="8">
        <f>0.08/2</f>
        <v>0.04</v>
      </c>
      <c r="I93" s="9">
        <f t="shared" si="1"/>
        <v>33.419999999999995</v>
      </c>
    </row>
    <row r="94" spans="1:9" ht="21" customHeight="1">
      <c r="A94" s="27"/>
      <c r="B94" s="26" t="s">
        <v>201</v>
      </c>
      <c r="C94" s="26" t="s">
        <v>343</v>
      </c>
      <c r="D94" s="12">
        <v>60006637176</v>
      </c>
      <c r="E94" s="30" t="s">
        <v>202</v>
      </c>
      <c r="F94" s="8">
        <f>78.34/2</f>
        <v>39.17</v>
      </c>
      <c r="G94" s="8">
        <f>2.35/2</f>
        <v>1.175</v>
      </c>
      <c r="H94" s="8">
        <v>0</v>
      </c>
      <c r="I94" s="9">
        <f t="shared" si="1"/>
        <v>40.345</v>
      </c>
    </row>
    <row r="95" spans="1:9" ht="21" customHeight="1">
      <c r="A95" s="27"/>
      <c r="B95" s="26" t="s">
        <v>203</v>
      </c>
      <c r="C95" s="93"/>
      <c r="D95" s="12">
        <v>60006637235</v>
      </c>
      <c r="E95" s="30" t="s">
        <v>204</v>
      </c>
      <c r="F95" s="8">
        <f>28.78/2</f>
        <v>14.39</v>
      </c>
      <c r="G95" s="8">
        <f>0.83/2</f>
        <v>0.415</v>
      </c>
      <c r="H95" s="8">
        <f>0.07/2</f>
        <v>0.035</v>
      </c>
      <c r="I95" s="9">
        <f t="shared" si="1"/>
        <v>14.84</v>
      </c>
    </row>
    <row r="96" spans="1:9" ht="21" customHeight="1">
      <c r="A96" s="27"/>
      <c r="B96" s="26" t="s">
        <v>205</v>
      </c>
      <c r="C96" s="26" t="s">
        <v>306</v>
      </c>
      <c r="D96" s="12">
        <v>60006637714</v>
      </c>
      <c r="E96" s="30" t="s">
        <v>206</v>
      </c>
      <c r="F96" s="8">
        <f>74.02/2</f>
        <v>37.01</v>
      </c>
      <c r="G96" s="8">
        <f>2.13/2</f>
        <v>1.065</v>
      </c>
      <c r="H96" s="8">
        <f>0.22/2</f>
        <v>0.11</v>
      </c>
      <c r="I96" s="9">
        <f t="shared" si="1"/>
        <v>38.184999999999995</v>
      </c>
    </row>
    <row r="97" spans="1:9" ht="21" customHeight="1">
      <c r="A97" s="27"/>
      <c r="B97" s="26" t="s">
        <v>207</v>
      </c>
      <c r="C97" s="93"/>
      <c r="D97" s="12">
        <v>60006642108</v>
      </c>
      <c r="E97" s="30" t="s">
        <v>208</v>
      </c>
      <c r="F97" s="8">
        <f>28.78/2</f>
        <v>14.39</v>
      </c>
      <c r="G97" s="8">
        <f>0.83/2</f>
        <v>0.415</v>
      </c>
      <c r="H97" s="8">
        <f>0.07/2</f>
        <v>0.035</v>
      </c>
      <c r="I97" s="9">
        <f t="shared" si="1"/>
        <v>14.84</v>
      </c>
    </row>
    <row r="98" spans="1:9" ht="21" customHeight="1">
      <c r="A98" s="27"/>
      <c r="B98" s="26" t="s">
        <v>209</v>
      </c>
      <c r="C98" s="93"/>
      <c r="D98" s="12">
        <v>60006642114</v>
      </c>
      <c r="E98" s="30" t="s">
        <v>210</v>
      </c>
      <c r="F98" s="8">
        <f>28.78/2</f>
        <v>14.39</v>
      </c>
      <c r="G98" s="8">
        <f>0.83/2</f>
        <v>0.415</v>
      </c>
      <c r="H98" s="8">
        <f>0.07/2</f>
        <v>0.035</v>
      </c>
      <c r="I98" s="9">
        <f t="shared" si="1"/>
        <v>14.84</v>
      </c>
    </row>
    <row r="99" spans="1:9" ht="21" customHeight="1">
      <c r="A99" s="27"/>
      <c r="B99" s="26" t="s">
        <v>211</v>
      </c>
      <c r="C99" s="26" t="s">
        <v>290</v>
      </c>
      <c r="D99" s="12">
        <v>60006644426</v>
      </c>
      <c r="E99" s="30" t="s">
        <v>212</v>
      </c>
      <c r="F99" s="8">
        <v>70.64</v>
      </c>
      <c r="G99" s="8">
        <v>2.1</v>
      </c>
      <c r="H99" s="8">
        <v>0.06</v>
      </c>
      <c r="I99" s="9">
        <f t="shared" si="1"/>
        <v>72.8</v>
      </c>
    </row>
    <row r="100" spans="1:9" ht="21" customHeight="1">
      <c r="A100" s="27"/>
      <c r="B100" s="26" t="s">
        <v>213</v>
      </c>
      <c r="C100" s="93"/>
      <c r="D100" s="12">
        <v>60006644431</v>
      </c>
      <c r="E100" s="30" t="s">
        <v>214</v>
      </c>
      <c r="F100" s="8">
        <v>92.85</v>
      </c>
      <c r="G100" s="8">
        <v>2.76</v>
      </c>
      <c r="H100" s="8">
        <v>0.06</v>
      </c>
      <c r="I100" s="9">
        <f t="shared" si="1"/>
        <v>95.67</v>
      </c>
    </row>
    <row r="101" spans="1:9" ht="21" customHeight="1">
      <c r="A101" s="27"/>
      <c r="B101" s="26" t="s">
        <v>215</v>
      </c>
      <c r="C101" s="26" t="s">
        <v>344</v>
      </c>
      <c r="D101" s="12">
        <v>60006644654</v>
      </c>
      <c r="E101" s="30" t="s">
        <v>216</v>
      </c>
      <c r="F101" s="18">
        <f>50.6/2</f>
        <v>25.3</v>
      </c>
      <c r="G101" s="18">
        <f>1.48/2</f>
        <v>0.74</v>
      </c>
      <c r="H101" s="18">
        <f>0.08/2</f>
        <v>0.04</v>
      </c>
      <c r="I101" s="87">
        <f t="shared" si="1"/>
        <v>26.08</v>
      </c>
    </row>
    <row r="102" spans="1:9" ht="21" customHeight="1">
      <c r="A102" s="27"/>
      <c r="B102" s="26" t="s">
        <v>217</v>
      </c>
      <c r="C102" s="93"/>
      <c r="D102" s="12">
        <v>60007182237</v>
      </c>
      <c r="E102" s="30" t="s">
        <v>218</v>
      </c>
      <c r="F102" s="8"/>
      <c r="G102" s="8"/>
      <c r="H102" s="8"/>
      <c r="I102" s="9">
        <f t="shared" si="1"/>
        <v>0</v>
      </c>
    </row>
    <row r="103" spans="1:9" ht="21" customHeight="1">
      <c r="A103" s="27"/>
      <c r="B103" s="26" t="s">
        <v>219</v>
      </c>
      <c r="C103" s="26" t="s">
        <v>354</v>
      </c>
      <c r="D103" s="12">
        <v>60007843211</v>
      </c>
      <c r="E103" s="30" t="s">
        <v>220</v>
      </c>
      <c r="F103" s="8">
        <v>35.91</v>
      </c>
      <c r="G103" s="8">
        <v>1.05</v>
      </c>
      <c r="H103" s="8">
        <v>0.06</v>
      </c>
      <c r="I103" s="9">
        <f t="shared" si="1"/>
        <v>37.019999999999996</v>
      </c>
    </row>
    <row r="104" spans="1:9" ht="21" customHeight="1">
      <c r="A104" s="27"/>
      <c r="B104" s="26" t="s">
        <v>221</v>
      </c>
      <c r="C104" s="26" t="s">
        <v>355</v>
      </c>
      <c r="D104" s="12">
        <v>60007843225</v>
      </c>
      <c r="E104" s="30" t="s">
        <v>222</v>
      </c>
      <c r="F104" s="8">
        <v>6.76</v>
      </c>
      <c r="G104" s="8">
        <v>0.19</v>
      </c>
      <c r="H104" s="8">
        <v>0.03</v>
      </c>
      <c r="I104" s="9">
        <f t="shared" si="1"/>
        <v>6.98</v>
      </c>
    </row>
    <row r="105" spans="1:9" ht="21" customHeight="1">
      <c r="A105" s="27"/>
      <c r="B105" s="26" t="s">
        <v>223</v>
      </c>
      <c r="C105" s="26" t="s">
        <v>347</v>
      </c>
      <c r="D105" s="12">
        <v>60007211343</v>
      </c>
      <c r="E105" s="30" t="s">
        <v>224</v>
      </c>
      <c r="F105" s="8">
        <f>10.89/2</f>
        <v>5.445</v>
      </c>
      <c r="G105" s="8">
        <f>0.33/2</f>
        <v>0.165</v>
      </c>
      <c r="H105" s="8">
        <v>0</v>
      </c>
      <c r="I105" s="9">
        <f t="shared" si="1"/>
        <v>5.61</v>
      </c>
    </row>
    <row r="106" spans="1:9" ht="21" customHeight="1">
      <c r="A106" s="27"/>
      <c r="B106" s="26" t="s">
        <v>225</v>
      </c>
      <c r="C106" s="26" t="s">
        <v>346</v>
      </c>
      <c r="D106" s="12">
        <v>60007211339</v>
      </c>
      <c r="E106" s="30" t="s">
        <v>226</v>
      </c>
      <c r="F106" s="8">
        <f>115.42/2</f>
        <v>57.71</v>
      </c>
      <c r="G106" s="8">
        <f>3.37/2</f>
        <v>1.685</v>
      </c>
      <c r="H106" s="8">
        <f>0.22/2</f>
        <v>0.11</v>
      </c>
      <c r="I106" s="9">
        <f t="shared" si="1"/>
        <v>59.505</v>
      </c>
    </row>
    <row r="107" spans="1:9" ht="21" customHeight="1">
      <c r="A107" s="27"/>
      <c r="B107" s="26" t="s">
        <v>227</v>
      </c>
      <c r="C107" s="26" t="s">
        <v>291</v>
      </c>
      <c r="D107" s="12">
        <v>60007239731</v>
      </c>
      <c r="E107" s="30" t="s">
        <v>228</v>
      </c>
      <c r="F107" s="8">
        <f>185.39/2</f>
        <v>92.695</v>
      </c>
      <c r="G107" s="8">
        <f>5.53/2</f>
        <v>2.765</v>
      </c>
      <c r="H107" s="8">
        <f>0.08/2</f>
        <v>0.04</v>
      </c>
      <c r="I107" s="9">
        <f t="shared" si="1"/>
        <v>95.5</v>
      </c>
    </row>
    <row r="108" spans="1:9" ht="21" customHeight="1">
      <c r="A108" s="27"/>
      <c r="B108" s="26" t="s">
        <v>229</v>
      </c>
      <c r="C108" s="26" t="s">
        <v>348</v>
      </c>
      <c r="D108" s="12">
        <v>60007483419</v>
      </c>
      <c r="E108" s="30" t="s">
        <v>230</v>
      </c>
      <c r="F108" s="8">
        <f>47.77/2</f>
        <v>23.885</v>
      </c>
      <c r="G108" s="8">
        <f>1.4/2</f>
        <v>0.7</v>
      </c>
      <c r="H108" s="8">
        <f>0.08/2</f>
        <v>0.04</v>
      </c>
      <c r="I108" s="9">
        <f t="shared" si="1"/>
        <v>24.625</v>
      </c>
    </row>
    <row r="109" spans="1:9" ht="21" customHeight="1">
      <c r="A109" s="27"/>
      <c r="B109" s="26" t="s">
        <v>231</v>
      </c>
      <c r="C109" s="26" t="s">
        <v>301</v>
      </c>
      <c r="D109" s="12">
        <v>60006579638</v>
      </c>
      <c r="E109" s="30" t="s">
        <v>232</v>
      </c>
      <c r="F109" s="8">
        <v>12.28</v>
      </c>
      <c r="G109" s="8">
        <v>0.34</v>
      </c>
      <c r="H109" s="8">
        <v>0.06</v>
      </c>
      <c r="I109" s="9">
        <f t="shared" si="1"/>
        <v>12.68</v>
      </c>
    </row>
    <row r="110" spans="1:9" ht="21" customHeight="1">
      <c r="A110" s="27"/>
      <c r="B110" s="26" t="s">
        <v>233</v>
      </c>
      <c r="C110" s="26" t="s">
        <v>349</v>
      </c>
      <c r="D110" s="12">
        <v>60006579657</v>
      </c>
      <c r="E110" s="30" t="s">
        <v>234</v>
      </c>
      <c r="F110" s="8">
        <v>108.39</v>
      </c>
      <c r="G110" s="8">
        <v>3.23</v>
      </c>
      <c r="H110" s="8">
        <v>0.06</v>
      </c>
      <c r="I110" s="9">
        <f t="shared" si="1"/>
        <v>111.68</v>
      </c>
    </row>
    <row r="111" spans="1:9" ht="21" customHeight="1">
      <c r="A111" s="27"/>
      <c r="B111" s="26" t="s">
        <v>235</v>
      </c>
      <c r="C111" s="93"/>
      <c r="D111" s="12">
        <v>60006579676</v>
      </c>
      <c r="E111" s="30" t="s">
        <v>236</v>
      </c>
      <c r="F111" s="8">
        <v>13.86</v>
      </c>
      <c r="G111" s="8">
        <v>0.39</v>
      </c>
      <c r="H111" s="8">
        <v>0.06</v>
      </c>
      <c r="I111" s="9">
        <f t="shared" si="1"/>
        <v>14.31</v>
      </c>
    </row>
    <row r="112" spans="1:9" ht="21" customHeight="1">
      <c r="A112" s="27"/>
      <c r="B112" s="26" t="s">
        <v>237</v>
      </c>
      <c r="C112" s="26" t="s">
        <v>351</v>
      </c>
      <c r="D112" s="12">
        <v>60007631681</v>
      </c>
      <c r="E112" s="30" t="s">
        <v>238</v>
      </c>
      <c r="F112" s="8">
        <v>24.08</v>
      </c>
      <c r="G112" s="8">
        <v>0.7</v>
      </c>
      <c r="H112" s="8">
        <v>0.06</v>
      </c>
      <c r="I112" s="9">
        <f t="shared" si="1"/>
        <v>24.839999999999996</v>
      </c>
    </row>
    <row r="113" spans="1:9" ht="21" customHeight="1">
      <c r="A113" s="27"/>
      <c r="B113" s="26" t="s">
        <v>239</v>
      </c>
      <c r="C113" s="26" t="s">
        <v>357</v>
      </c>
      <c r="D113" s="12">
        <v>60007848373</v>
      </c>
      <c r="E113" s="30" t="s">
        <v>240</v>
      </c>
      <c r="F113" s="8">
        <f>300.2/2</f>
        <v>150.1</v>
      </c>
      <c r="G113" s="8">
        <f>8.91/2</f>
        <v>4.455</v>
      </c>
      <c r="H113" s="8">
        <f>0.22/2</f>
        <v>0.11</v>
      </c>
      <c r="I113" s="9">
        <f t="shared" si="1"/>
        <v>154.66500000000002</v>
      </c>
    </row>
    <row r="114" spans="1:9" ht="21" customHeight="1">
      <c r="A114" s="27"/>
      <c r="B114" s="26" t="s">
        <v>241</v>
      </c>
      <c r="C114" s="26" t="s">
        <v>338</v>
      </c>
      <c r="D114" s="12">
        <v>60006631880</v>
      </c>
      <c r="E114" s="30" t="s">
        <v>242</v>
      </c>
      <c r="F114" s="8">
        <f>38.33/2</f>
        <v>19.165</v>
      </c>
      <c r="G114" s="8">
        <f>1.12/2</f>
        <v>0.56</v>
      </c>
      <c r="H114" s="8">
        <f>0.07/2</f>
        <v>0.035</v>
      </c>
      <c r="I114" s="9">
        <f t="shared" si="1"/>
        <v>19.759999999999998</v>
      </c>
    </row>
    <row r="115" spans="1:9" ht="21" customHeight="1">
      <c r="A115" s="27"/>
      <c r="B115" s="26" t="s">
        <v>243</v>
      </c>
      <c r="C115" s="26" t="s">
        <v>320</v>
      </c>
      <c r="D115" s="12">
        <v>60006631920</v>
      </c>
      <c r="E115" s="30" t="s">
        <v>244</v>
      </c>
      <c r="F115" s="8">
        <f>186.28/2</f>
        <v>93.14</v>
      </c>
      <c r="G115" s="8">
        <f>5.49/2</f>
        <v>2.745</v>
      </c>
      <c r="H115" s="8">
        <f>0.23/2</f>
        <v>0.115</v>
      </c>
      <c r="I115" s="9">
        <f t="shared" si="1"/>
        <v>96</v>
      </c>
    </row>
    <row r="116" spans="1:9" ht="21" customHeight="1">
      <c r="A116" s="27"/>
      <c r="B116" s="26" t="s">
        <v>245</v>
      </c>
      <c r="C116" s="26" t="s">
        <v>340</v>
      </c>
      <c r="D116" s="12">
        <v>60006631987</v>
      </c>
      <c r="E116" s="30" t="s">
        <v>246</v>
      </c>
      <c r="F116" s="8">
        <f>131.98/2</f>
        <v>65.99</v>
      </c>
      <c r="G116" s="8">
        <f>3.86/2</f>
        <v>1.93</v>
      </c>
      <c r="H116" s="8">
        <f>0.22/2</f>
        <v>0.11</v>
      </c>
      <c r="I116" s="9">
        <f t="shared" si="1"/>
        <v>68.03</v>
      </c>
    </row>
    <row r="117" spans="1:9" ht="21" customHeight="1">
      <c r="A117" s="27"/>
      <c r="B117" s="26" t="s">
        <v>247</v>
      </c>
      <c r="C117" s="26" t="s">
        <v>373</v>
      </c>
      <c r="D117" s="12">
        <v>60006632009</v>
      </c>
      <c r="E117" s="30" t="s">
        <v>248</v>
      </c>
      <c r="F117" s="8">
        <f>620.85/2</f>
        <v>310.425</v>
      </c>
      <c r="G117" s="8">
        <f>18.53/2</f>
        <v>9.265</v>
      </c>
      <c r="H117" s="8">
        <f>0.22/2</f>
        <v>0.11</v>
      </c>
      <c r="I117" s="9">
        <f t="shared" si="1"/>
        <v>319.8</v>
      </c>
    </row>
    <row r="118" spans="1:9" ht="21" customHeight="1">
      <c r="A118" s="27"/>
      <c r="B118" s="26" t="s">
        <v>249</v>
      </c>
      <c r="C118" s="26" t="s">
        <v>350</v>
      </c>
      <c r="D118" s="12">
        <v>60007611240</v>
      </c>
      <c r="E118" s="30" t="s">
        <v>250</v>
      </c>
      <c r="F118" s="8">
        <f>434.33/2</f>
        <v>217.165</v>
      </c>
      <c r="G118" s="8">
        <f>13/2</f>
        <v>6.5</v>
      </c>
      <c r="H118" s="8">
        <f>0.08/2</f>
        <v>0.04</v>
      </c>
      <c r="I118" s="9">
        <f t="shared" si="1"/>
        <v>223.70499999999998</v>
      </c>
    </row>
    <row r="119" spans="1:9" ht="21" customHeight="1">
      <c r="A119" s="27"/>
      <c r="B119" s="26" t="s">
        <v>251</v>
      </c>
      <c r="C119" s="26" t="s">
        <v>337</v>
      </c>
      <c r="D119" s="12">
        <v>60006613294</v>
      </c>
      <c r="E119" s="30" t="s">
        <v>252</v>
      </c>
      <c r="F119" s="8">
        <f>99.63/2</f>
        <v>49.815</v>
      </c>
      <c r="G119" s="8">
        <f>2.99/2</f>
        <v>1.495</v>
      </c>
      <c r="H119" s="8">
        <v>0</v>
      </c>
      <c r="I119" s="9">
        <f t="shared" si="1"/>
        <v>51.309999999999995</v>
      </c>
    </row>
    <row r="120" spans="1:9" ht="21" customHeight="1">
      <c r="A120" s="27"/>
      <c r="B120" s="26" t="s">
        <v>253</v>
      </c>
      <c r="C120" s="26" t="s">
        <v>303</v>
      </c>
      <c r="D120" s="12">
        <v>60006631725</v>
      </c>
      <c r="E120" s="30" t="s">
        <v>254</v>
      </c>
      <c r="F120" s="8">
        <f>175.03/2</f>
        <v>87.515</v>
      </c>
      <c r="G120" s="8">
        <f>5.22/2</f>
        <v>2.61</v>
      </c>
      <c r="H120" s="8">
        <f>0.07/2</f>
        <v>0.035</v>
      </c>
      <c r="I120" s="9">
        <f aca="true" t="shared" si="2" ref="I120:I130">SUM(F120:H120)</f>
        <v>90.16</v>
      </c>
    </row>
    <row r="121" spans="1:9" ht="21" customHeight="1">
      <c r="A121" s="27"/>
      <c r="B121" s="26" t="s">
        <v>255</v>
      </c>
      <c r="C121" s="26" t="s">
        <v>304</v>
      </c>
      <c r="D121" s="12">
        <v>60006631818</v>
      </c>
      <c r="E121" s="30" t="s">
        <v>256</v>
      </c>
      <c r="F121" s="8">
        <v>9.5</v>
      </c>
      <c r="G121" s="8">
        <v>0.27</v>
      </c>
      <c r="H121" s="8">
        <v>0.03</v>
      </c>
      <c r="I121" s="9">
        <f t="shared" si="2"/>
        <v>9.799999999999999</v>
      </c>
    </row>
    <row r="122" spans="1:9" ht="21" customHeight="1">
      <c r="A122" s="28"/>
      <c r="B122" s="25" t="s">
        <v>257</v>
      </c>
      <c r="C122" s="95"/>
      <c r="D122" s="14">
        <v>60006631824</v>
      </c>
      <c r="E122" s="45" t="s">
        <v>258</v>
      </c>
      <c r="F122" s="15">
        <f>1115.99*0.25+1369.16*0.25</f>
        <v>621.2875</v>
      </c>
      <c r="G122" s="15">
        <f>33.4*0.25+40.99*0.25</f>
        <v>18.5975</v>
      </c>
      <c r="H122" s="15">
        <f>0.2*0.25+0.2*0.25</f>
        <v>0.1</v>
      </c>
      <c r="I122" s="9">
        <f t="shared" si="2"/>
        <v>639.985</v>
      </c>
    </row>
    <row r="123" spans="1:9" ht="21" customHeight="1">
      <c r="A123" s="28"/>
      <c r="B123" s="25" t="s">
        <v>259</v>
      </c>
      <c r="C123" s="25" t="s">
        <v>345</v>
      </c>
      <c r="D123" s="14">
        <v>60006872372</v>
      </c>
      <c r="E123" s="45" t="s">
        <v>260</v>
      </c>
      <c r="F123" s="15">
        <v>26.05</v>
      </c>
      <c r="G123" s="15">
        <v>0.76</v>
      </c>
      <c r="H123" s="15">
        <v>0.06</v>
      </c>
      <c r="I123" s="9">
        <f t="shared" si="2"/>
        <v>26.87</v>
      </c>
    </row>
    <row r="124" spans="1:9" ht="21" customHeight="1">
      <c r="A124" s="28"/>
      <c r="B124" s="25" t="s">
        <v>261</v>
      </c>
      <c r="C124" s="25" t="s">
        <v>321</v>
      </c>
      <c r="D124" s="14">
        <v>60006974384</v>
      </c>
      <c r="E124" s="45" t="s">
        <v>262</v>
      </c>
      <c r="F124" s="15">
        <f>139.74/2</f>
        <v>69.87</v>
      </c>
      <c r="G124" s="15">
        <f>4.16/2</f>
        <v>2.08</v>
      </c>
      <c r="H124" s="15">
        <f>0.08/2</f>
        <v>0.04</v>
      </c>
      <c r="I124" s="9">
        <f t="shared" si="2"/>
        <v>71.99000000000001</v>
      </c>
    </row>
    <row r="125" spans="1:9" ht="21" customHeight="1">
      <c r="A125" s="28"/>
      <c r="B125" s="25" t="s">
        <v>263</v>
      </c>
      <c r="C125" s="25" t="s">
        <v>368</v>
      </c>
      <c r="D125" s="14">
        <v>60006581324</v>
      </c>
      <c r="E125" s="45" t="s">
        <v>264</v>
      </c>
      <c r="F125" s="15">
        <v>447.75</v>
      </c>
      <c r="G125" s="15">
        <v>13.39</v>
      </c>
      <c r="H125" s="15">
        <v>0.11</v>
      </c>
      <c r="I125" s="9">
        <f t="shared" si="2"/>
        <v>461.25</v>
      </c>
    </row>
    <row r="126" spans="1:9" ht="21" customHeight="1">
      <c r="A126" s="28"/>
      <c r="B126" s="25" t="s">
        <v>265</v>
      </c>
      <c r="C126" s="25" t="s">
        <v>352</v>
      </c>
      <c r="D126" s="14">
        <v>60007651627</v>
      </c>
      <c r="E126" s="45" t="s">
        <v>266</v>
      </c>
      <c r="F126" s="15">
        <v>41.59</v>
      </c>
      <c r="G126" s="15">
        <v>1.22</v>
      </c>
      <c r="H126" s="15">
        <v>0.06</v>
      </c>
      <c r="I126" s="9">
        <f t="shared" si="2"/>
        <v>42.870000000000005</v>
      </c>
    </row>
    <row r="127" spans="1:9" ht="21" customHeight="1">
      <c r="A127" s="28"/>
      <c r="B127" s="25" t="s">
        <v>267</v>
      </c>
      <c r="C127" s="95"/>
      <c r="D127" s="14">
        <v>83007351147</v>
      </c>
      <c r="E127" s="45" t="s">
        <v>268</v>
      </c>
      <c r="F127" s="15">
        <v>12.51</v>
      </c>
      <c r="G127" s="15">
        <v>0.35</v>
      </c>
      <c r="H127" s="15">
        <v>0.06</v>
      </c>
      <c r="I127" s="9">
        <f t="shared" si="2"/>
        <v>12.92</v>
      </c>
    </row>
    <row r="128" spans="1:9" ht="21" customHeight="1">
      <c r="A128" s="28"/>
      <c r="B128" s="25" t="s">
        <v>269</v>
      </c>
      <c r="C128" s="25"/>
      <c r="D128" s="14">
        <v>83007705623</v>
      </c>
      <c r="E128" s="45" t="s">
        <v>270</v>
      </c>
      <c r="F128" s="15">
        <v>21.74</v>
      </c>
      <c r="G128" s="15">
        <v>0.63</v>
      </c>
      <c r="H128" s="15">
        <v>0.06</v>
      </c>
      <c r="I128" s="9">
        <f t="shared" si="2"/>
        <v>22.429999999999996</v>
      </c>
    </row>
    <row r="129" spans="1:9" ht="21" customHeight="1">
      <c r="A129" s="28"/>
      <c r="B129" s="25" t="s">
        <v>271</v>
      </c>
      <c r="C129" s="25"/>
      <c r="D129" s="14">
        <v>83007812488</v>
      </c>
      <c r="E129" s="45" t="s">
        <v>272</v>
      </c>
      <c r="F129" s="15">
        <f>253.61/2</f>
        <v>126.805</v>
      </c>
      <c r="G129" s="15">
        <f>2.19/2</f>
        <v>1.095</v>
      </c>
      <c r="H129" s="15">
        <f>12.65/2</f>
        <v>6.325</v>
      </c>
      <c r="I129" s="9">
        <f t="shared" si="2"/>
        <v>134.225</v>
      </c>
    </row>
    <row r="130" spans="1:9" ht="21" customHeight="1">
      <c r="A130" s="28"/>
      <c r="B130" s="25" t="s">
        <v>273</v>
      </c>
      <c r="C130" s="25"/>
      <c r="D130" s="14">
        <v>83007946440</v>
      </c>
      <c r="E130" s="45" t="s">
        <v>274</v>
      </c>
      <c r="F130" s="15"/>
      <c r="G130" s="15"/>
      <c r="H130" s="15"/>
      <c r="I130" s="9">
        <f t="shared" si="2"/>
        <v>0</v>
      </c>
    </row>
    <row r="131" spans="1:9" ht="21" customHeight="1" thickBot="1">
      <c r="A131" s="10" t="s">
        <v>0</v>
      </c>
      <c r="B131" s="24"/>
      <c r="C131" s="24"/>
      <c r="D131" s="13"/>
      <c r="E131" s="13"/>
      <c r="F131" s="34"/>
      <c r="G131" s="34"/>
      <c r="H131" s="34"/>
      <c r="I131" s="38">
        <f>SUM(I8:I130)</f>
        <v>22662.34333333333</v>
      </c>
    </row>
    <row r="132" ht="13.5" thickTop="1"/>
  </sheetData>
  <sheetProtection/>
  <mergeCells count="3">
    <mergeCell ref="H3:I3"/>
    <mergeCell ref="G4:I4"/>
    <mergeCell ref="G2:I2"/>
  </mergeCells>
  <printOptions horizontalCentered="1"/>
  <pageMargins left="0.5905511811023623" right="0.5905511811023623" top="0.5905511811023623" bottom="0.5905511811023623" header="0" footer="0"/>
  <pageSetup fitToHeight="0" fitToWidth="1" horizontalDpi="600" verticalDpi="600" orientation="portrait" paperSize="9" scale="3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131"/>
  <sheetViews>
    <sheetView view="pageBreakPreview" zoomScale="90" zoomScaleSheetLayoutView="90" zoomScalePageLayoutView="0" workbookViewId="0" topLeftCell="A50">
      <selection activeCell="A54" sqref="A54:IV56"/>
    </sheetView>
  </sheetViews>
  <sheetFormatPr defaultColWidth="11.421875" defaultRowHeight="12.75"/>
  <cols>
    <col min="1" max="1" width="15.140625" style="1" customWidth="1"/>
    <col min="2" max="2" width="86.00390625" style="21" customWidth="1"/>
    <col min="3" max="3" width="103.7109375" style="21" customWidth="1"/>
    <col min="4" max="4" width="21.8515625" style="1" customWidth="1"/>
    <col min="5" max="5" width="34.8515625" style="1" hidden="1" customWidth="1"/>
    <col min="6" max="6" width="22.57421875" style="2" customWidth="1"/>
    <col min="7" max="7" width="22.8515625" style="2" customWidth="1"/>
    <col min="8" max="8" width="19.140625" style="2" customWidth="1"/>
    <col min="9" max="9" width="18.28125" style="52" bestFit="1" customWidth="1"/>
    <col min="10" max="10" width="11.421875" style="1" customWidth="1"/>
    <col min="11" max="11" width="11.57421875" style="1" bestFit="1" customWidth="1"/>
    <col min="12" max="16384" width="11.421875" style="1" customWidth="1"/>
  </cols>
  <sheetData>
    <row r="1" spans="1:8" ht="15.75" customHeight="1">
      <c r="A1" s="52"/>
      <c r="B1" s="54"/>
      <c r="C1" s="54"/>
      <c r="F1" s="52"/>
      <c r="G1" s="52"/>
      <c r="H1" s="52"/>
    </row>
    <row r="2" spans="1:9" ht="42.75" customHeight="1">
      <c r="A2" s="52"/>
      <c r="B2" s="54"/>
      <c r="C2" s="54"/>
      <c r="F2" s="101" t="s">
        <v>116</v>
      </c>
      <c r="G2" s="101"/>
      <c r="H2" s="101"/>
      <c r="I2" s="101"/>
    </row>
    <row r="3" spans="1:9" ht="33.75" customHeight="1">
      <c r="A3" s="52"/>
      <c r="B3" s="54"/>
      <c r="C3" s="54"/>
      <c r="F3" s="52"/>
      <c r="G3" s="100"/>
      <c r="H3" s="100"/>
      <c r="I3" s="100"/>
    </row>
    <row r="4" spans="1:9" ht="21.75" customHeight="1">
      <c r="A4" s="52"/>
      <c r="B4" s="54"/>
      <c r="C4" s="54"/>
      <c r="F4" s="99" t="s">
        <v>115</v>
      </c>
      <c r="G4" s="99"/>
      <c r="H4" s="99"/>
      <c r="I4" s="99"/>
    </row>
    <row r="5" spans="1:8" ht="15.75" customHeight="1">
      <c r="A5" s="52"/>
      <c r="B5" s="54"/>
      <c r="C5" s="54"/>
      <c r="F5" s="52"/>
      <c r="G5" s="52"/>
      <c r="H5" s="52"/>
    </row>
    <row r="6" spans="1:8" ht="15.75" customHeight="1" thickBot="1">
      <c r="A6" s="55"/>
      <c r="B6" s="56"/>
      <c r="C6" s="56"/>
      <c r="D6" s="3"/>
      <c r="E6" s="3"/>
      <c r="F6" s="55"/>
      <c r="G6" s="55"/>
      <c r="H6" s="55"/>
    </row>
    <row r="7" spans="1:9" ht="21" customHeight="1" thickTop="1">
      <c r="A7" s="57" t="s">
        <v>1</v>
      </c>
      <c r="B7" s="58" t="s">
        <v>3</v>
      </c>
      <c r="C7" s="23" t="s">
        <v>285</v>
      </c>
      <c r="D7" s="11" t="s">
        <v>2</v>
      </c>
      <c r="E7" s="16" t="s">
        <v>11</v>
      </c>
      <c r="F7" s="59" t="s">
        <v>4</v>
      </c>
      <c r="G7" s="59" t="s">
        <v>5</v>
      </c>
      <c r="H7" s="73" t="s">
        <v>13</v>
      </c>
      <c r="I7" s="53" t="s">
        <v>0</v>
      </c>
    </row>
    <row r="8" spans="1:9" ht="21" customHeight="1">
      <c r="A8" s="60"/>
      <c r="B8" s="72" t="s">
        <v>15</v>
      </c>
      <c r="C8" s="72" t="s">
        <v>316</v>
      </c>
      <c r="D8" s="12">
        <v>83006884161</v>
      </c>
      <c r="E8" s="30" t="s">
        <v>16</v>
      </c>
      <c r="F8" s="46">
        <v>53</v>
      </c>
      <c r="G8" s="46">
        <v>178</v>
      </c>
      <c r="H8" s="74">
        <v>51</v>
      </c>
      <c r="I8" s="51">
        <f>F8+G8+H8</f>
        <v>282</v>
      </c>
    </row>
    <row r="9" spans="1:9" ht="21" customHeight="1">
      <c r="A9" s="60"/>
      <c r="B9" s="26" t="s">
        <v>17</v>
      </c>
      <c r="C9" s="26" t="s">
        <v>314</v>
      </c>
      <c r="D9" s="12">
        <v>83001699293</v>
      </c>
      <c r="E9" s="30" t="s">
        <v>19</v>
      </c>
      <c r="F9" s="46">
        <v>1564.5</v>
      </c>
      <c r="G9" s="46">
        <v>0</v>
      </c>
      <c r="H9" s="74">
        <v>0</v>
      </c>
      <c r="I9" s="51">
        <f aca="true" t="shared" si="0" ref="I9:I59">F9+G9+H9</f>
        <v>1564.5</v>
      </c>
    </row>
    <row r="10" spans="1:9" ht="21" customHeight="1">
      <c r="A10" s="60"/>
      <c r="B10" s="26" t="s">
        <v>18</v>
      </c>
      <c r="C10" s="26" t="s">
        <v>324</v>
      </c>
      <c r="D10" s="12">
        <v>83002793469</v>
      </c>
      <c r="E10" s="30" t="s">
        <v>20</v>
      </c>
      <c r="F10" s="46">
        <v>255</v>
      </c>
      <c r="G10" s="46">
        <v>3226</v>
      </c>
      <c r="H10" s="74">
        <v>286</v>
      </c>
      <c r="I10" s="51">
        <f t="shared" si="0"/>
        <v>3767</v>
      </c>
    </row>
    <row r="11" spans="1:9" ht="21" customHeight="1">
      <c r="A11" s="60"/>
      <c r="B11" s="26" t="s">
        <v>21</v>
      </c>
      <c r="C11" s="26" t="s">
        <v>365</v>
      </c>
      <c r="D11" s="12">
        <v>83005319585</v>
      </c>
      <c r="E11" s="30" t="s">
        <v>22</v>
      </c>
      <c r="F11" s="46">
        <v>145</v>
      </c>
      <c r="G11" s="46">
        <v>326</v>
      </c>
      <c r="H11" s="74">
        <v>153</v>
      </c>
      <c r="I11" s="51">
        <f t="shared" si="0"/>
        <v>624</v>
      </c>
    </row>
    <row r="12" spans="1:9" ht="21" customHeight="1">
      <c r="A12" s="60"/>
      <c r="B12" s="26" t="s">
        <v>23</v>
      </c>
      <c r="C12" s="26" t="s">
        <v>325</v>
      </c>
      <c r="D12" s="61">
        <v>999395654431</v>
      </c>
      <c r="E12" s="30" t="s">
        <v>24</v>
      </c>
      <c r="F12" s="46">
        <v>473</v>
      </c>
      <c r="G12" s="46">
        <v>4225</v>
      </c>
      <c r="H12" s="74">
        <v>1284</v>
      </c>
      <c r="I12" s="51">
        <f t="shared" si="0"/>
        <v>5982</v>
      </c>
    </row>
    <row r="13" spans="1:9" ht="21" customHeight="1">
      <c r="A13" s="60"/>
      <c r="B13" s="26" t="s">
        <v>25</v>
      </c>
      <c r="C13" s="26" t="s">
        <v>315</v>
      </c>
      <c r="D13" s="61">
        <v>999395655454</v>
      </c>
      <c r="E13" s="30" t="s">
        <v>26</v>
      </c>
      <c r="F13" s="46">
        <v>366</v>
      </c>
      <c r="G13" s="46">
        <v>1324</v>
      </c>
      <c r="H13" s="74">
        <v>187</v>
      </c>
      <c r="I13" s="51">
        <f t="shared" si="0"/>
        <v>1877</v>
      </c>
    </row>
    <row r="14" spans="1:9" ht="21" customHeight="1">
      <c r="A14" s="60"/>
      <c r="B14" s="26" t="s">
        <v>27</v>
      </c>
      <c r="C14" s="26" t="s">
        <v>326</v>
      </c>
      <c r="D14" s="61">
        <v>512012286</v>
      </c>
      <c r="E14" s="30" t="s">
        <v>28</v>
      </c>
      <c r="F14" s="46">
        <v>299</v>
      </c>
      <c r="G14" s="46">
        <v>2358</v>
      </c>
      <c r="H14" s="74">
        <v>524</v>
      </c>
      <c r="I14" s="51">
        <f t="shared" si="0"/>
        <v>3181</v>
      </c>
    </row>
    <row r="15" spans="1:9" ht="21" customHeight="1">
      <c r="A15" s="60"/>
      <c r="B15" s="26" t="s">
        <v>29</v>
      </c>
      <c r="C15" s="26" t="s">
        <v>327</v>
      </c>
      <c r="D15" s="61">
        <v>999395659634</v>
      </c>
      <c r="E15" s="30" t="s">
        <v>30</v>
      </c>
      <c r="F15" s="46">
        <v>242</v>
      </c>
      <c r="G15" s="46">
        <v>2428</v>
      </c>
      <c r="H15" s="74">
        <v>483</v>
      </c>
      <c r="I15" s="51">
        <f t="shared" si="0"/>
        <v>3153</v>
      </c>
    </row>
    <row r="16" spans="1:9" ht="21" customHeight="1">
      <c r="A16" s="60"/>
      <c r="B16" s="26" t="s">
        <v>31</v>
      </c>
      <c r="C16" s="26" t="s">
        <v>317</v>
      </c>
      <c r="D16" s="61">
        <v>999395660462</v>
      </c>
      <c r="E16" s="30" t="s">
        <v>32</v>
      </c>
      <c r="F16" s="46">
        <v>209</v>
      </c>
      <c r="G16" s="46">
        <v>886</v>
      </c>
      <c r="H16" s="74">
        <v>668</v>
      </c>
      <c r="I16" s="51">
        <f t="shared" si="0"/>
        <v>1763</v>
      </c>
    </row>
    <row r="17" spans="1:9" ht="21" customHeight="1">
      <c r="A17" s="60"/>
      <c r="B17" s="26" t="s">
        <v>33</v>
      </c>
      <c r="C17" s="26" t="s">
        <v>366</v>
      </c>
      <c r="D17" s="61">
        <v>999395662284</v>
      </c>
      <c r="E17" s="30" t="s">
        <v>34</v>
      </c>
      <c r="F17" s="46">
        <v>2440</v>
      </c>
      <c r="G17" s="46">
        <v>5162</v>
      </c>
      <c r="H17" s="74">
        <v>2799</v>
      </c>
      <c r="I17" s="51">
        <f t="shared" si="0"/>
        <v>10401</v>
      </c>
    </row>
    <row r="18" spans="1:9" ht="21" customHeight="1">
      <c r="A18" s="60"/>
      <c r="B18" s="26" t="s">
        <v>35</v>
      </c>
      <c r="C18" s="26" t="s">
        <v>292</v>
      </c>
      <c r="D18" s="61">
        <v>999395662947</v>
      </c>
      <c r="E18" s="30" t="s">
        <v>36</v>
      </c>
      <c r="F18" s="46"/>
      <c r="G18" s="46"/>
      <c r="H18" s="74"/>
      <c r="I18" s="51">
        <f t="shared" si="0"/>
        <v>0</v>
      </c>
    </row>
    <row r="19" spans="1:9" ht="21" customHeight="1">
      <c r="A19" s="60"/>
      <c r="B19" s="26" t="s">
        <v>37</v>
      </c>
      <c r="C19" s="26" t="s">
        <v>369</v>
      </c>
      <c r="D19" s="61">
        <v>999395663410</v>
      </c>
      <c r="E19" s="30" t="s">
        <v>38</v>
      </c>
      <c r="F19" s="46">
        <v>967</v>
      </c>
      <c r="G19" s="46">
        <v>1132</v>
      </c>
      <c r="H19" s="74">
        <v>332</v>
      </c>
      <c r="I19" s="51">
        <f t="shared" si="0"/>
        <v>2431</v>
      </c>
    </row>
    <row r="20" spans="1:9" ht="21" customHeight="1">
      <c r="A20" s="60"/>
      <c r="B20" s="26" t="s">
        <v>39</v>
      </c>
      <c r="C20" s="26" t="s">
        <v>293</v>
      </c>
      <c r="D20" s="61">
        <v>999395665004</v>
      </c>
      <c r="E20" s="30" t="s">
        <v>40</v>
      </c>
      <c r="F20" s="46"/>
      <c r="G20" s="46"/>
      <c r="H20" s="74"/>
      <c r="I20" s="51">
        <f t="shared" si="0"/>
        <v>0</v>
      </c>
    </row>
    <row r="21" spans="1:9" ht="21" customHeight="1">
      <c r="A21" s="60"/>
      <c r="B21" s="26" t="s">
        <v>41</v>
      </c>
      <c r="C21" s="26" t="s">
        <v>367</v>
      </c>
      <c r="D21" s="61">
        <v>999395665500</v>
      </c>
      <c r="E21" s="30" t="s">
        <v>42</v>
      </c>
      <c r="F21" s="46">
        <v>482</v>
      </c>
      <c r="G21" s="46">
        <v>2164</v>
      </c>
      <c r="H21" s="74">
        <v>1150</v>
      </c>
      <c r="I21" s="51">
        <f t="shared" si="0"/>
        <v>3796</v>
      </c>
    </row>
    <row r="22" spans="1:9" ht="21" customHeight="1">
      <c r="A22" s="60"/>
      <c r="B22" s="26" t="s">
        <v>43</v>
      </c>
      <c r="C22" s="93"/>
      <c r="D22" s="61">
        <v>999395674678</v>
      </c>
      <c r="E22" s="30" t="s">
        <v>44</v>
      </c>
      <c r="F22" s="46">
        <v>0</v>
      </c>
      <c r="G22" s="46">
        <v>447</v>
      </c>
      <c r="H22" s="74">
        <v>209</v>
      </c>
      <c r="I22" s="51">
        <f t="shared" si="0"/>
        <v>656</v>
      </c>
    </row>
    <row r="23" spans="1:9" s="19" customFormat="1" ht="21" customHeight="1">
      <c r="A23" s="60"/>
      <c r="B23" s="26" t="s">
        <v>45</v>
      </c>
      <c r="C23" s="26" t="s">
        <v>307</v>
      </c>
      <c r="D23" s="61">
        <v>999395675751</v>
      </c>
      <c r="E23" s="30" t="s">
        <v>46</v>
      </c>
      <c r="F23" s="46">
        <v>659</v>
      </c>
      <c r="G23" s="46">
        <v>1390</v>
      </c>
      <c r="H23" s="74">
        <v>496</v>
      </c>
      <c r="I23" s="51">
        <f t="shared" si="0"/>
        <v>2545</v>
      </c>
    </row>
    <row r="24" spans="1:9" s="19" customFormat="1" ht="21" customHeight="1">
      <c r="A24" s="60"/>
      <c r="B24" s="26" t="s">
        <v>47</v>
      </c>
      <c r="C24" s="26" t="s">
        <v>318</v>
      </c>
      <c r="D24" s="61">
        <v>999395676257</v>
      </c>
      <c r="E24" s="30" t="s">
        <v>48</v>
      </c>
      <c r="F24" s="46">
        <v>201</v>
      </c>
      <c r="G24" s="46">
        <v>260</v>
      </c>
      <c r="H24" s="74">
        <v>106</v>
      </c>
      <c r="I24" s="51">
        <f t="shared" si="0"/>
        <v>567</v>
      </c>
    </row>
    <row r="25" spans="1:9" ht="21" customHeight="1">
      <c r="A25" s="60"/>
      <c r="B25" s="26" t="s">
        <v>49</v>
      </c>
      <c r="C25" s="26" t="s">
        <v>328</v>
      </c>
      <c r="D25" s="61">
        <v>999395676905</v>
      </c>
      <c r="E25" s="30" t="s">
        <v>50</v>
      </c>
      <c r="F25" s="79">
        <v>76</v>
      </c>
      <c r="G25" s="79">
        <v>908</v>
      </c>
      <c r="H25" s="80">
        <v>89</v>
      </c>
      <c r="I25" s="81">
        <f t="shared" si="0"/>
        <v>1073</v>
      </c>
    </row>
    <row r="26" spans="1:9" ht="21" customHeight="1">
      <c r="A26" s="60"/>
      <c r="B26" s="26" t="s">
        <v>51</v>
      </c>
      <c r="C26" s="93"/>
      <c r="D26" s="61">
        <v>999395677339</v>
      </c>
      <c r="E26" s="30" t="s">
        <v>52</v>
      </c>
      <c r="F26" s="46">
        <v>898</v>
      </c>
      <c r="G26" s="46">
        <v>1092</v>
      </c>
      <c r="H26" s="74">
        <v>5</v>
      </c>
      <c r="I26" s="51">
        <f t="shared" si="0"/>
        <v>1995</v>
      </c>
    </row>
    <row r="27" spans="1:9" ht="21" customHeight="1">
      <c r="A27" s="60"/>
      <c r="B27" s="26" t="s">
        <v>53</v>
      </c>
      <c r="C27" s="93"/>
      <c r="D27" s="61">
        <v>999395680029</v>
      </c>
      <c r="E27" s="30" t="s">
        <v>54</v>
      </c>
      <c r="F27" s="46">
        <v>750</v>
      </c>
      <c r="G27" s="46">
        <v>863</v>
      </c>
      <c r="H27" s="74">
        <v>1</v>
      </c>
      <c r="I27" s="51">
        <f t="shared" si="0"/>
        <v>1614</v>
      </c>
    </row>
    <row r="28" spans="1:9" ht="21" customHeight="1">
      <c r="A28" s="60"/>
      <c r="B28" s="26" t="s">
        <v>55</v>
      </c>
      <c r="C28" s="26" t="s">
        <v>294</v>
      </c>
      <c r="D28" s="61">
        <v>999395682858</v>
      </c>
      <c r="E28" s="30" t="s">
        <v>56</v>
      </c>
      <c r="F28" s="46"/>
      <c r="G28" s="46"/>
      <c r="H28" s="74"/>
      <c r="I28" s="51">
        <f t="shared" si="0"/>
        <v>0</v>
      </c>
    </row>
    <row r="29" spans="1:9" ht="21" customHeight="1">
      <c r="A29" s="60"/>
      <c r="B29" s="26" t="s">
        <v>57</v>
      </c>
      <c r="C29" s="26" t="s">
        <v>295</v>
      </c>
      <c r="D29" s="12">
        <v>512095448</v>
      </c>
      <c r="E29" s="30" t="s">
        <v>58</v>
      </c>
      <c r="F29" s="46"/>
      <c r="G29" s="46"/>
      <c r="H29" s="74"/>
      <c r="I29" s="51">
        <f t="shared" si="0"/>
        <v>0</v>
      </c>
    </row>
    <row r="30" spans="1:9" ht="21" customHeight="1">
      <c r="A30" s="60"/>
      <c r="B30" s="26" t="s">
        <v>59</v>
      </c>
      <c r="C30" s="26" t="s">
        <v>296</v>
      </c>
      <c r="D30" s="61">
        <v>999395695033</v>
      </c>
      <c r="E30" s="30" t="s">
        <v>60</v>
      </c>
      <c r="F30" s="46">
        <v>1509.5</v>
      </c>
      <c r="G30" s="46">
        <v>0</v>
      </c>
      <c r="H30" s="74">
        <v>0</v>
      </c>
      <c r="I30" s="51">
        <f t="shared" si="0"/>
        <v>1509.5</v>
      </c>
    </row>
    <row r="31" spans="1:9" ht="21" customHeight="1">
      <c r="A31" s="60"/>
      <c r="B31" s="26" t="s">
        <v>61</v>
      </c>
      <c r="C31" s="26" t="s">
        <v>296</v>
      </c>
      <c r="D31" s="61">
        <v>999395696742</v>
      </c>
      <c r="E31" s="30" t="s">
        <v>62</v>
      </c>
      <c r="F31" s="46">
        <v>2758</v>
      </c>
      <c r="G31" s="46">
        <v>0</v>
      </c>
      <c r="H31" s="74">
        <v>0</v>
      </c>
      <c r="I31" s="51">
        <f t="shared" si="0"/>
        <v>2758</v>
      </c>
    </row>
    <row r="32" spans="1:9" ht="21" customHeight="1">
      <c r="A32" s="60"/>
      <c r="B32" s="26" t="s">
        <v>63</v>
      </c>
      <c r="C32" s="26" t="s">
        <v>308</v>
      </c>
      <c r="D32" s="61">
        <v>999395697615</v>
      </c>
      <c r="E32" s="30" t="s">
        <v>64</v>
      </c>
      <c r="F32" s="46">
        <f>5352/2</f>
        <v>2676</v>
      </c>
      <c r="G32" s="46">
        <v>0</v>
      </c>
      <c r="H32" s="74">
        <v>0</v>
      </c>
      <c r="I32" s="51">
        <f t="shared" si="0"/>
        <v>2676</v>
      </c>
    </row>
    <row r="33" spans="1:9" s="20" customFormat="1" ht="21" customHeight="1">
      <c r="A33" s="60"/>
      <c r="B33" s="26" t="s">
        <v>65</v>
      </c>
      <c r="C33" s="26" t="s">
        <v>297</v>
      </c>
      <c r="D33" s="61">
        <v>999395698321</v>
      </c>
      <c r="E33" s="30" t="s">
        <v>66</v>
      </c>
      <c r="F33" s="84">
        <f>5015/2</f>
        <v>2507.5</v>
      </c>
      <c r="G33" s="46">
        <v>0</v>
      </c>
      <c r="H33" s="74">
        <v>0</v>
      </c>
      <c r="I33" s="51">
        <f t="shared" si="0"/>
        <v>2507.5</v>
      </c>
    </row>
    <row r="34" spans="1:9" ht="21" customHeight="1">
      <c r="A34" s="60"/>
      <c r="B34" s="26" t="s">
        <v>67</v>
      </c>
      <c r="C34" s="26" t="s">
        <v>309</v>
      </c>
      <c r="D34" s="62">
        <v>999395698661</v>
      </c>
      <c r="E34" s="31" t="s">
        <v>68</v>
      </c>
      <c r="F34" s="47">
        <f>1984/2</f>
        <v>992</v>
      </c>
      <c r="G34" s="47">
        <v>0</v>
      </c>
      <c r="H34" s="75">
        <v>0</v>
      </c>
      <c r="I34" s="51">
        <f t="shared" si="0"/>
        <v>992</v>
      </c>
    </row>
    <row r="35" spans="1:9" ht="21" customHeight="1">
      <c r="A35" s="60"/>
      <c r="B35" s="26" t="s">
        <v>69</v>
      </c>
      <c r="C35" s="26"/>
      <c r="D35" s="61">
        <v>999395699042</v>
      </c>
      <c r="E35" s="30" t="s">
        <v>70</v>
      </c>
      <c r="F35" s="46">
        <f>4941/2</f>
        <v>2470.5</v>
      </c>
      <c r="G35" s="46">
        <v>0</v>
      </c>
      <c r="H35" s="74">
        <v>0</v>
      </c>
      <c r="I35" s="51">
        <f t="shared" si="0"/>
        <v>2470.5</v>
      </c>
    </row>
    <row r="36" spans="1:9" ht="21" customHeight="1">
      <c r="A36" s="60"/>
      <c r="B36" s="26" t="s">
        <v>71</v>
      </c>
      <c r="C36" s="93"/>
      <c r="D36" s="61">
        <v>999395699192</v>
      </c>
      <c r="E36" s="30" t="s">
        <v>72</v>
      </c>
      <c r="F36" s="47">
        <f>1896/2</f>
        <v>948</v>
      </c>
      <c r="G36" s="47">
        <v>0</v>
      </c>
      <c r="H36" s="75">
        <v>0</v>
      </c>
      <c r="I36" s="92">
        <f t="shared" si="0"/>
        <v>948</v>
      </c>
    </row>
    <row r="37" spans="1:9" ht="21" customHeight="1">
      <c r="A37" s="60"/>
      <c r="B37" s="26" t="s">
        <v>73</v>
      </c>
      <c r="C37" s="93"/>
      <c r="D37" s="61">
        <v>999395699382</v>
      </c>
      <c r="E37" s="30" t="s">
        <v>74</v>
      </c>
      <c r="F37" s="84">
        <f>2079/2</f>
        <v>1039.5</v>
      </c>
      <c r="G37" s="46">
        <v>0</v>
      </c>
      <c r="H37" s="74">
        <v>0</v>
      </c>
      <c r="I37" s="51">
        <f t="shared" si="0"/>
        <v>1039.5</v>
      </c>
    </row>
    <row r="38" spans="1:9" ht="21" customHeight="1">
      <c r="A38" s="60"/>
      <c r="B38" s="26" t="s">
        <v>75</v>
      </c>
      <c r="C38" s="26" t="s">
        <v>298</v>
      </c>
      <c r="D38" s="61">
        <v>999395699631</v>
      </c>
      <c r="E38" s="30" t="s">
        <v>76</v>
      </c>
      <c r="F38" s="84">
        <f>271/2</f>
        <v>135.5</v>
      </c>
      <c r="G38" s="46">
        <v>0</v>
      </c>
      <c r="H38" s="74">
        <v>0</v>
      </c>
      <c r="I38" s="51">
        <f t="shared" si="0"/>
        <v>135.5</v>
      </c>
    </row>
    <row r="39" spans="1:9" ht="21" customHeight="1">
      <c r="A39" s="60"/>
      <c r="B39" s="26" t="s">
        <v>77</v>
      </c>
      <c r="C39" s="93"/>
      <c r="D39" s="61">
        <v>999395699855</v>
      </c>
      <c r="E39" s="30" t="s">
        <v>78</v>
      </c>
      <c r="F39" s="84">
        <f>1450/2</f>
        <v>725</v>
      </c>
      <c r="G39" s="46">
        <v>0</v>
      </c>
      <c r="H39" s="74">
        <v>0</v>
      </c>
      <c r="I39" s="51">
        <f t="shared" si="0"/>
        <v>725</v>
      </c>
    </row>
    <row r="40" spans="1:9" ht="21" customHeight="1">
      <c r="A40" s="60"/>
      <c r="B40" s="26" t="s">
        <v>79</v>
      </c>
      <c r="C40" s="26" t="s">
        <v>299</v>
      </c>
      <c r="D40" s="61">
        <v>999395699914</v>
      </c>
      <c r="E40" s="30" t="s">
        <v>80</v>
      </c>
      <c r="F40" s="46">
        <f>3314/2</f>
        <v>1657</v>
      </c>
      <c r="G40" s="46">
        <v>0</v>
      </c>
      <c r="H40" s="74">
        <v>0</v>
      </c>
      <c r="I40" s="51">
        <f t="shared" si="0"/>
        <v>1657</v>
      </c>
    </row>
    <row r="41" spans="1:9" ht="21" customHeight="1">
      <c r="A41" s="60"/>
      <c r="B41" s="26" t="s">
        <v>81</v>
      </c>
      <c r="C41" s="26" t="s">
        <v>329</v>
      </c>
      <c r="D41" s="61">
        <v>999395720675</v>
      </c>
      <c r="E41" s="30" t="s">
        <v>82</v>
      </c>
      <c r="F41" s="46">
        <f>5844/2</f>
        <v>2922</v>
      </c>
      <c r="G41" s="46">
        <v>0</v>
      </c>
      <c r="H41" s="74">
        <v>0</v>
      </c>
      <c r="I41" s="51">
        <f t="shared" si="0"/>
        <v>2922</v>
      </c>
    </row>
    <row r="42" spans="1:9" ht="21" customHeight="1">
      <c r="A42" s="60"/>
      <c r="B42" s="26" t="s">
        <v>83</v>
      </c>
      <c r="C42" s="26" t="s">
        <v>300</v>
      </c>
      <c r="D42" s="61">
        <v>999395721493</v>
      </c>
      <c r="E42" s="30" t="s">
        <v>84</v>
      </c>
      <c r="F42" s="84">
        <f>2878/2</f>
        <v>1439</v>
      </c>
      <c r="G42" s="46">
        <v>0</v>
      </c>
      <c r="H42" s="74">
        <v>0</v>
      </c>
      <c r="I42" s="51">
        <f t="shared" si="0"/>
        <v>1439</v>
      </c>
    </row>
    <row r="43" spans="1:9" ht="21" customHeight="1">
      <c r="A43" s="60"/>
      <c r="B43" s="26" t="s">
        <v>85</v>
      </c>
      <c r="C43" s="26"/>
      <c r="D43" s="61">
        <v>999395728957</v>
      </c>
      <c r="E43" s="30" t="s">
        <v>86</v>
      </c>
      <c r="F43" s="84">
        <f>1141/2</f>
        <v>570.5</v>
      </c>
      <c r="G43" s="46">
        <v>0</v>
      </c>
      <c r="H43" s="74">
        <v>0</v>
      </c>
      <c r="I43" s="51">
        <f t="shared" si="0"/>
        <v>570.5</v>
      </c>
    </row>
    <row r="44" spans="1:9" ht="21" customHeight="1">
      <c r="A44" s="60"/>
      <c r="B44" s="26" t="s">
        <v>87</v>
      </c>
      <c r="C44" s="26" t="s">
        <v>330</v>
      </c>
      <c r="D44" s="61">
        <v>999395729357</v>
      </c>
      <c r="E44" s="30" t="s">
        <v>88</v>
      </c>
      <c r="F44" s="46">
        <f>1300/2</f>
        <v>650</v>
      </c>
      <c r="G44" s="46">
        <v>0</v>
      </c>
      <c r="H44" s="74">
        <v>0</v>
      </c>
      <c r="I44" s="51">
        <f t="shared" si="0"/>
        <v>650</v>
      </c>
    </row>
    <row r="45" spans="1:9" ht="21" customHeight="1">
      <c r="A45" s="60"/>
      <c r="B45" s="26" t="s">
        <v>89</v>
      </c>
      <c r="C45" s="93"/>
      <c r="D45" s="61">
        <v>999395729815</v>
      </c>
      <c r="E45" s="30" t="s">
        <v>90</v>
      </c>
      <c r="F45" s="84">
        <f>1360/2</f>
        <v>680</v>
      </c>
      <c r="G45" s="46">
        <v>0</v>
      </c>
      <c r="H45" s="74">
        <v>0</v>
      </c>
      <c r="I45" s="51">
        <f t="shared" si="0"/>
        <v>680</v>
      </c>
    </row>
    <row r="46" spans="1:9" ht="21" customHeight="1">
      <c r="A46" s="60"/>
      <c r="B46" s="26" t="s">
        <v>94</v>
      </c>
      <c r="C46" s="26" t="s">
        <v>331</v>
      </c>
      <c r="D46" s="61">
        <v>999395730546</v>
      </c>
      <c r="E46" s="30" t="s">
        <v>91</v>
      </c>
      <c r="F46" s="84">
        <f>473/2</f>
        <v>236.5</v>
      </c>
      <c r="G46" s="46">
        <v>0</v>
      </c>
      <c r="H46" s="74">
        <v>0</v>
      </c>
      <c r="I46" s="51">
        <f t="shared" si="0"/>
        <v>236.5</v>
      </c>
    </row>
    <row r="47" spans="1:9" ht="21" customHeight="1">
      <c r="A47" s="60"/>
      <c r="B47" s="26" t="s">
        <v>92</v>
      </c>
      <c r="C47" s="26" t="s">
        <v>319</v>
      </c>
      <c r="D47" s="61">
        <v>999395731005</v>
      </c>
      <c r="E47" s="32" t="s">
        <v>93</v>
      </c>
      <c r="F47" s="84">
        <f>1703/2</f>
        <v>851.5</v>
      </c>
      <c r="G47" s="46">
        <v>0</v>
      </c>
      <c r="H47" s="74">
        <v>0</v>
      </c>
      <c r="I47" s="51">
        <f t="shared" si="0"/>
        <v>851.5</v>
      </c>
    </row>
    <row r="48" spans="1:9" ht="21" customHeight="1">
      <c r="A48" s="60"/>
      <c r="B48" s="26" t="s">
        <v>95</v>
      </c>
      <c r="C48" s="93"/>
      <c r="D48" s="61">
        <v>999395731797</v>
      </c>
      <c r="E48" s="30" t="s">
        <v>96</v>
      </c>
      <c r="F48" s="46">
        <f>17/2</f>
        <v>8.5</v>
      </c>
      <c r="G48" s="46">
        <v>0</v>
      </c>
      <c r="H48" s="74">
        <v>0</v>
      </c>
      <c r="I48" s="51">
        <f t="shared" si="0"/>
        <v>8.5</v>
      </c>
    </row>
    <row r="49" spans="1:9" ht="21" customHeight="1">
      <c r="A49" s="60"/>
      <c r="B49" s="26" t="s">
        <v>97</v>
      </c>
      <c r="C49" s="26"/>
      <c r="D49" s="61">
        <v>999395850272</v>
      </c>
      <c r="E49" s="30" t="s">
        <v>98</v>
      </c>
      <c r="F49" s="46">
        <v>1</v>
      </c>
      <c r="G49" s="46">
        <v>1608</v>
      </c>
      <c r="H49" s="74">
        <v>2592</v>
      </c>
      <c r="I49" s="51">
        <f t="shared" si="0"/>
        <v>4201</v>
      </c>
    </row>
    <row r="50" spans="1:9" ht="21" customHeight="1">
      <c r="A50" s="60"/>
      <c r="B50" s="26" t="s">
        <v>99</v>
      </c>
      <c r="C50" s="93"/>
      <c r="D50" s="61">
        <v>999395869847</v>
      </c>
      <c r="E50" s="30" t="s">
        <v>100</v>
      </c>
      <c r="F50" s="46">
        <v>811</v>
      </c>
      <c r="G50" s="46">
        <v>2104</v>
      </c>
      <c r="H50" s="74">
        <v>0</v>
      </c>
      <c r="I50" s="51">
        <f t="shared" si="0"/>
        <v>2915</v>
      </c>
    </row>
    <row r="51" spans="1:9" ht="21" customHeight="1">
      <c r="A51" s="60"/>
      <c r="B51" s="26" t="s">
        <v>101</v>
      </c>
      <c r="C51" s="26" t="s">
        <v>371</v>
      </c>
      <c r="D51" s="12">
        <v>83007836944</v>
      </c>
      <c r="E51" s="30" t="s">
        <v>102</v>
      </c>
      <c r="F51" s="46"/>
      <c r="G51" s="46"/>
      <c r="H51" s="74"/>
      <c r="I51" s="51">
        <f t="shared" si="0"/>
        <v>0</v>
      </c>
    </row>
    <row r="52" spans="1:9" ht="21" customHeight="1">
      <c r="A52" s="60"/>
      <c r="B52" s="26" t="s">
        <v>103</v>
      </c>
      <c r="C52" s="26" t="s">
        <v>286</v>
      </c>
      <c r="D52" s="61">
        <v>999418107083</v>
      </c>
      <c r="E52" s="30" t="s">
        <v>104</v>
      </c>
      <c r="F52" s="84">
        <f>4381/2</f>
        <v>2190.5</v>
      </c>
      <c r="G52" s="46">
        <v>0</v>
      </c>
      <c r="H52" s="74">
        <v>0</v>
      </c>
      <c r="I52" s="51">
        <f t="shared" si="0"/>
        <v>2190.5</v>
      </c>
    </row>
    <row r="53" spans="1:9" ht="21" customHeight="1">
      <c r="A53" s="60"/>
      <c r="B53" s="26" t="s">
        <v>105</v>
      </c>
      <c r="C53" s="26" t="s">
        <v>332</v>
      </c>
      <c r="D53" s="61">
        <v>999418108530</v>
      </c>
      <c r="E53" s="30" t="s">
        <v>106</v>
      </c>
      <c r="F53" s="46">
        <v>176</v>
      </c>
      <c r="G53" s="46">
        <v>868</v>
      </c>
      <c r="H53" s="74">
        <v>75</v>
      </c>
      <c r="I53" s="51">
        <f t="shared" si="0"/>
        <v>1119</v>
      </c>
    </row>
    <row r="54" spans="1:9" ht="21" customHeight="1">
      <c r="A54" s="60"/>
      <c r="B54" s="26" t="s">
        <v>107</v>
      </c>
      <c r="C54" s="26" t="s">
        <v>302</v>
      </c>
      <c r="D54" s="61">
        <v>999444028261</v>
      </c>
      <c r="E54" s="30" t="s">
        <v>108</v>
      </c>
      <c r="F54" s="46">
        <v>28</v>
      </c>
      <c r="G54" s="46">
        <v>75</v>
      </c>
      <c r="H54" s="74">
        <v>45</v>
      </c>
      <c r="I54" s="51">
        <f t="shared" si="0"/>
        <v>148</v>
      </c>
    </row>
    <row r="55" spans="1:9" ht="21" customHeight="1">
      <c r="A55" s="60"/>
      <c r="B55" s="26" t="s">
        <v>109</v>
      </c>
      <c r="C55" s="26" t="s">
        <v>313</v>
      </c>
      <c r="D55" s="12">
        <v>83000769293</v>
      </c>
      <c r="E55" s="30" t="s">
        <v>110</v>
      </c>
      <c r="F55" s="46">
        <v>260</v>
      </c>
      <c r="G55" s="46">
        <v>843</v>
      </c>
      <c r="H55" s="74">
        <v>177</v>
      </c>
      <c r="I55" s="51">
        <f t="shared" si="0"/>
        <v>1280</v>
      </c>
    </row>
    <row r="56" spans="1:9" s="29" customFormat="1" ht="21" customHeight="1">
      <c r="A56" s="60"/>
      <c r="B56" s="35" t="s">
        <v>125</v>
      </c>
      <c r="C56" s="94"/>
      <c r="D56" s="36">
        <v>60006203645</v>
      </c>
      <c r="E56" s="37" t="s">
        <v>126</v>
      </c>
      <c r="F56" s="46">
        <v>65</v>
      </c>
      <c r="G56" s="48">
        <v>0</v>
      </c>
      <c r="H56" s="46">
        <v>0</v>
      </c>
      <c r="I56" s="51">
        <f t="shared" si="0"/>
        <v>65</v>
      </c>
    </row>
    <row r="57" spans="1:9" ht="21" customHeight="1">
      <c r="A57" s="60"/>
      <c r="B57" s="26" t="s">
        <v>127</v>
      </c>
      <c r="C57" s="93"/>
      <c r="D57" s="12">
        <v>60007966411</v>
      </c>
      <c r="E57" s="30" t="s">
        <v>128</v>
      </c>
      <c r="F57" s="46">
        <v>448</v>
      </c>
      <c r="G57" s="46">
        <v>0</v>
      </c>
      <c r="H57" s="74">
        <v>0</v>
      </c>
      <c r="I57" s="51">
        <f t="shared" si="0"/>
        <v>448</v>
      </c>
    </row>
    <row r="58" spans="1:9" ht="21" customHeight="1">
      <c r="A58" s="60"/>
      <c r="B58" s="26" t="s">
        <v>129</v>
      </c>
      <c r="C58" s="26" t="s">
        <v>289</v>
      </c>
      <c r="D58" s="12">
        <v>60006643135</v>
      </c>
      <c r="E58" s="30" t="s">
        <v>130</v>
      </c>
      <c r="F58" s="84">
        <f>633/2</f>
        <v>316.5</v>
      </c>
      <c r="G58" s="46">
        <v>0</v>
      </c>
      <c r="H58" s="74">
        <v>0</v>
      </c>
      <c r="I58" s="51">
        <f t="shared" si="0"/>
        <v>316.5</v>
      </c>
    </row>
    <row r="59" spans="1:9" ht="21" customHeight="1">
      <c r="A59" s="60"/>
      <c r="B59" s="26" t="s">
        <v>131</v>
      </c>
      <c r="C59" s="93"/>
      <c r="D59" s="12">
        <v>60007843244</v>
      </c>
      <c r="E59" s="30" t="s">
        <v>132</v>
      </c>
      <c r="F59" s="46">
        <f>656/2</f>
        <v>328</v>
      </c>
      <c r="G59" s="46">
        <v>0</v>
      </c>
      <c r="H59" s="74">
        <v>0</v>
      </c>
      <c r="I59" s="51">
        <f t="shared" si="0"/>
        <v>328</v>
      </c>
    </row>
    <row r="60" spans="1:9" ht="21" customHeight="1">
      <c r="A60" s="60"/>
      <c r="B60" s="26" t="s">
        <v>133</v>
      </c>
      <c r="C60" s="26" t="s">
        <v>322</v>
      </c>
      <c r="D60" s="12">
        <v>60007843069</v>
      </c>
      <c r="E60" s="30" t="s">
        <v>134</v>
      </c>
      <c r="F60" s="46">
        <f>356/2</f>
        <v>178</v>
      </c>
      <c r="G60" s="46">
        <v>0</v>
      </c>
      <c r="H60" s="74">
        <v>0</v>
      </c>
      <c r="I60" s="51">
        <f aca="true" t="shared" si="1" ref="I60:I120">F60+G60+H60</f>
        <v>178</v>
      </c>
    </row>
    <row r="61" spans="1:9" ht="21" customHeight="1">
      <c r="A61" s="60"/>
      <c r="B61" s="26" t="s">
        <v>135</v>
      </c>
      <c r="C61" s="26" t="s">
        <v>353</v>
      </c>
      <c r="D61" s="12">
        <v>60007843073</v>
      </c>
      <c r="E61" s="30" t="s">
        <v>136</v>
      </c>
      <c r="F61" s="84">
        <f>595/2</f>
        <v>297.5</v>
      </c>
      <c r="G61" s="46">
        <v>0</v>
      </c>
      <c r="H61" s="74">
        <v>0</v>
      </c>
      <c r="I61" s="51">
        <f t="shared" si="1"/>
        <v>297.5</v>
      </c>
    </row>
    <row r="62" spans="1:9" ht="21" customHeight="1">
      <c r="A62" s="60"/>
      <c r="B62" s="26" t="s">
        <v>137</v>
      </c>
      <c r="C62" s="93"/>
      <c r="D62" s="12">
        <v>60007843356</v>
      </c>
      <c r="E62" s="30" t="s">
        <v>138</v>
      </c>
      <c r="F62" s="46">
        <f>165/2</f>
        <v>82.5</v>
      </c>
      <c r="G62" s="46">
        <v>0</v>
      </c>
      <c r="H62" s="74">
        <v>0</v>
      </c>
      <c r="I62" s="51">
        <f t="shared" si="1"/>
        <v>82.5</v>
      </c>
    </row>
    <row r="63" spans="1:9" ht="21" customHeight="1">
      <c r="A63" s="60"/>
      <c r="B63" s="26" t="s">
        <v>139</v>
      </c>
      <c r="C63" s="93"/>
      <c r="D63" s="12">
        <v>60007847274</v>
      </c>
      <c r="E63" s="30" t="s">
        <v>140</v>
      </c>
      <c r="F63" s="84">
        <f>258/2</f>
        <v>129</v>
      </c>
      <c r="G63" s="46">
        <v>0</v>
      </c>
      <c r="H63" s="74">
        <v>0</v>
      </c>
      <c r="I63" s="51">
        <f t="shared" si="1"/>
        <v>129</v>
      </c>
    </row>
    <row r="64" spans="1:9" ht="21" customHeight="1">
      <c r="A64" s="60"/>
      <c r="B64" s="26" t="s">
        <v>141</v>
      </c>
      <c r="C64" s="93"/>
      <c r="D64" s="12">
        <v>60007847482</v>
      </c>
      <c r="E64" s="30" t="s">
        <v>142</v>
      </c>
      <c r="F64" s="46">
        <v>83</v>
      </c>
      <c r="G64" s="46">
        <v>0</v>
      </c>
      <c r="H64" s="74">
        <v>0</v>
      </c>
      <c r="I64" s="51">
        <f t="shared" si="1"/>
        <v>83</v>
      </c>
    </row>
    <row r="65" spans="1:9" ht="21" customHeight="1">
      <c r="A65" s="60"/>
      <c r="B65" s="26" t="s">
        <v>143</v>
      </c>
      <c r="C65" s="26" t="s">
        <v>323</v>
      </c>
      <c r="D65" s="12">
        <v>60007858040</v>
      </c>
      <c r="E65" s="78" t="s">
        <v>144</v>
      </c>
      <c r="F65" s="46">
        <v>94</v>
      </c>
      <c r="G65" s="46">
        <v>0</v>
      </c>
      <c r="H65" s="74">
        <v>0</v>
      </c>
      <c r="I65" s="51">
        <f t="shared" si="1"/>
        <v>94</v>
      </c>
    </row>
    <row r="66" spans="1:9" s="29" customFormat="1" ht="21" customHeight="1">
      <c r="A66" s="60"/>
      <c r="B66" s="43" t="s">
        <v>145</v>
      </c>
      <c r="C66" s="43" t="s">
        <v>358</v>
      </c>
      <c r="D66" s="44">
        <v>60007889355</v>
      </c>
      <c r="E66" s="37" t="s">
        <v>146</v>
      </c>
      <c r="F66" s="84">
        <f>196/2</f>
        <v>98</v>
      </c>
      <c r="G66" s="46">
        <v>0</v>
      </c>
      <c r="H66" s="74">
        <v>0</v>
      </c>
      <c r="I66" s="51">
        <f t="shared" si="1"/>
        <v>98</v>
      </c>
    </row>
    <row r="67" spans="1:9" s="29" customFormat="1" ht="21" customHeight="1">
      <c r="A67" s="60"/>
      <c r="B67" s="41" t="s">
        <v>147</v>
      </c>
      <c r="C67" s="41" t="s">
        <v>311</v>
      </c>
      <c r="D67" s="40">
        <v>60007899611</v>
      </c>
      <c r="E67" s="42" t="s">
        <v>148</v>
      </c>
      <c r="F67" s="47">
        <v>588</v>
      </c>
      <c r="G67" s="47">
        <v>0</v>
      </c>
      <c r="H67" s="75">
        <v>0</v>
      </c>
      <c r="I67" s="51">
        <f t="shared" si="1"/>
        <v>588</v>
      </c>
    </row>
    <row r="68" spans="1:9" ht="21" customHeight="1">
      <c r="A68" s="60"/>
      <c r="B68" s="26" t="s">
        <v>149</v>
      </c>
      <c r="C68" s="93"/>
      <c r="D68" s="12">
        <v>60008073286</v>
      </c>
      <c r="E68" s="30" t="s">
        <v>150</v>
      </c>
      <c r="F68" s="46">
        <f>-31/2</f>
        <v>-15.5</v>
      </c>
      <c r="G68" s="46">
        <v>0</v>
      </c>
      <c r="H68" s="74">
        <v>0</v>
      </c>
      <c r="I68" s="51">
        <f t="shared" si="1"/>
        <v>-15.5</v>
      </c>
    </row>
    <row r="69" spans="1:9" ht="21" customHeight="1">
      <c r="A69" s="60"/>
      <c r="B69" s="26" t="s">
        <v>151</v>
      </c>
      <c r="C69" s="26"/>
      <c r="D69" s="12">
        <v>60008101006</v>
      </c>
      <c r="E69" s="30" t="s">
        <v>152</v>
      </c>
      <c r="F69" s="88">
        <f>3/2</f>
        <v>1.5</v>
      </c>
      <c r="G69" s="46">
        <v>0</v>
      </c>
      <c r="H69" s="74">
        <v>0</v>
      </c>
      <c r="I69" s="51">
        <f t="shared" si="1"/>
        <v>1.5</v>
      </c>
    </row>
    <row r="70" spans="1:9" ht="21" customHeight="1">
      <c r="A70" s="60"/>
      <c r="B70" s="26" t="s">
        <v>153</v>
      </c>
      <c r="C70" s="26" t="s">
        <v>359</v>
      </c>
      <c r="D70" s="12">
        <v>60008115357</v>
      </c>
      <c r="E70" s="30" t="s">
        <v>154</v>
      </c>
      <c r="F70" s="46">
        <v>337</v>
      </c>
      <c r="G70" s="46">
        <v>0</v>
      </c>
      <c r="H70" s="74">
        <v>0</v>
      </c>
      <c r="I70" s="51">
        <f t="shared" si="1"/>
        <v>337</v>
      </c>
    </row>
    <row r="71" spans="1:9" ht="21" customHeight="1">
      <c r="A71" s="60"/>
      <c r="B71" s="26" t="s">
        <v>155</v>
      </c>
      <c r="C71" s="26" t="s">
        <v>312</v>
      </c>
      <c r="D71" s="12">
        <v>60008450632</v>
      </c>
      <c r="E71" s="30" t="s">
        <v>156</v>
      </c>
      <c r="F71" s="46">
        <v>41</v>
      </c>
      <c r="G71" s="46">
        <v>0</v>
      </c>
      <c r="H71" s="74">
        <v>0</v>
      </c>
      <c r="I71" s="51">
        <f t="shared" si="1"/>
        <v>41</v>
      </c>
    </row>
    <row r="72" spans="1:9" ht="21" customHeight="1">
      <c r="A72" s="60"/>
      <c r="B72" s="26" t="s">
        <v>157</v>
      </c>
      <c r="C72" s="26" t="s">
        <v>360</v>
      </c>
      <c r="D72" s="12">
        <v>60008427213</v>
      </c>
      <c r="E72" s="30" t="s">
        <v>158</v>
      </c>
      <c r="F72" s="46">
        <f>147/2</f>
        <v>73.5</v>
      </c>
      <c r="G72" s="46">
        <v>0</v>
      </c>
      <c r="H72" s="74">
        <v>0</v>
      </c>
      <c r="I72" s="51">
        <f t="shared" si="1"/>
        <v>73.5</v>
      </c>
    </row>
    <row r="73" spans="1:9" ht="21" customHeight="1">
      <c r="A73" s="60"/>
      <c r="B73" s="26" t="s">
        <v>159</v>
      </c>
      <c r="C73" s="26" t="s">
        <v>361</v>
      </c>
      <c r="D73" s="12">
        <v>60008475541</v>
      </c>
      <c r="E73" s="30" t="s">
        <v>160</v>
      </c>
      <c r="F73" s="46">
        <f>905/2</f>
        <v>452.5</v>
      </c>
      <c r="G73" s="46">
        <v>0</v>
      </c>
      <c r="H73" s="74">
        <v>0</v>
      </c>
      <c r="I73" s="51">
        <f t="shared" si="1"/>
        <v>452.5</v>
      </c>
    </row>
    <row r="74" spans="1:9" ht="21" customHeight="1">
      <c r="A74" s="60"/>
      <c r="B74" s="26" t="s">
        <v>161</v>
      </c>
      <c r="C74" s="93"/>
      <c r="D74" s="12">
        <v>60008368817</v>
      </c>
      <c r="E74" s="30" t="s">
        <v>162</v>
      </c>
      <c r="F74" s="46">
        <v>115</v>
      </c>
      <c r="G74" s="46">
        <v>0</v>
      </c>
      <c r="H74" s="74">
        <v>0</v>
      </c>
      <c r="I74" s="51">
        <f t="shared" si="1"/>
        <v>115</v>
      </c>
    </row>
    <row r="75" spans="1:9" ht="21" customHeight="1">
      <c r="A75" s="60"/>
      <c r="B75" s="26" t="s">
        <v>163</v>
      </c>
      <c r="C75" s="26" t="s">
        <v>372</v>
      </c>
      <c r="D75" s="12">
        <v>60091069643</v>
      </c>
      <c r="E75" s="30" t="s">
        <v>164</v>
      </c>
      <c r="F75" s="46"/>
      <c r="G75" s="46"/>
      <c r="H75" s="74"/>
      <c r="I75" s="51">
        <f t="shared" si="1"/>
        <v>0</v>
      </c>
    </row>
    <row r="76" spans="1:9" ht="21" customHeight="1">
      <c r="A76" s="60"/>
      <c r="B76" s="26" t="s">
        <v>165</v>
      </c>
      <c r="C76" s="26" t="s">
        <v>363</v>
      </c>
      <c r="D76" s="12">
        <v>60089709450</v>
      </c>
      <c r="E76" s="30" t="s">
        <v>166</v>
      </c>
      <c r="F76" s="84">
        <f>202/2</f>
        <v>101</v>
      </c>
      <c r="G76" s="46">
        <v>0</v>
      </c>
      <c r="H76" s="74">
        <v>0</v>
      </c>
      <c r="I76" s="51">
        <f t="shared" si="1"/>
        <v>101</v>
      </c>
    </row>
    <row r="77" spans="1:9" ht="21" customHeight="1">
      <c r="A77" s="60"/>
      <c r="B77" s="26" t="s">
        <v>167</v>
      </c>
      <c r="C77" s="26" t="s">
        <v>362</v>
      </c>
      <c r="D77" s="12">
        <v>60089553056</v>
      </c>
      <c r="E77" s="30" t="s">
        <v>168</v>
      </c>
      <c r="F77" s="46">
        <f>3971/2</f>
        <v>1985.5</v>
      </c>
      <c r="G77" s="46">
        <v>0</v>
      </c>
      <c r="H77" s="74">
        <v>0</v>
      </c>
      <c r="I77" s="51">
        <f t="shared" si="1"/>
        <v>1985.5</v>
      </c>
    </row>
    <row r="78" spans="1:9" s="29" customFormat="1" ht="21" customHeight="1">
      <c r="A78" s="60"/>
      <c r="B78" s="26" t="s">
        <v>169</v>
      </c>
      <c r="C78" s="26" t="s">
        <v>364</v>
      </c>
      <c r="D78" s="17">
        <v>60090692774</v>
      </c>
      <c r="E78" s="31" t="s">
        <v>170</v>
      </c>
      <c r="F78" s="46">
        <v>6</v>
      </c>
      <c r="G78" s="46">
        <v>0</v>
      </c>
      <c r="H78" s="74">
        <v>0</v>
      </c>
      <c r="I78" s="51">
        <f t="shared" si="1"/>
        <v>6</v>
      </c>
    </row>
    <row r="79" spans="1:9" ht="21" customHeight="1">
      <c r="A79" s="60"/>
      <c r="B79" s="26" t="s">
        <v>171</v>
      </c>
      <c r="C79" s="93"/>
      <c r="D79" s="12">
        <v>60006579681</v>
      </c>
      <c r="E79" s="30" t="s">
        <v>172</v>
      </c>
      <c r="F79" s="46">
        <v>26</v>
      </c>
      <c r="G79" s="46">
        <v>0</v>
      </c>
      <c r="H79" s="74">
        <v>0</v>
      </c>
      <c r="I79" s="51">
        <f t="shared" si="1"/>
        <v>26</v>
      </c>
    </row>
    <row r="80" spans="1:9" ht="21" customHeight="1">
      <c r="A80" s="60"/>
      <c r="B80" s="26" t="s">
        <v>173</v>
      </c>
      <c r="C80" s="26" t="s">
        <v>333</v>
      </c>
      <c r="D80" s="12">
        <v>60006586696</v>
      </c>
      <c r="E80" s="30" t="s">
        <v>174</v>
      </c>
      <c r="F80" s="84">
        <f>1145/2</f>
        <v>572.5</v>
      </c>
      <c r="G80" s="46">
        <v>0</v>
      </c>
      <c r="H80" s="74">
        <v>0</v>
      </c>
      <c r="I80" s="51">
        <f t="shared" si="1"/>
        <v>572.5</v>
      </c>
    </row>
    <row r="81" spans="1:9" ht="21" customHeight="1">
      <c r="A81" s="60"/>
      <c r="B81" s="26" t="s">
        <v>175</v>
      </c>
      <c r="C81" s="93"/>
      <c r="D81" s="17">
        <v>60006586704</v>
      </c>
      <c r="E81" s="31" t="s">
        <v>176</v>
      </c>
      <c r="F81" s="84">
        <f>149/2</f>
        <v>74.5</v>
      </c>
      <c r="G81" s="46">
        <v>0</v>
      </c>
      <c r="H81" s="74">
        <v>0</v>
      </c>
      <c r="I81" s="51">
        <f t="shared" si="1"/>
        <v>74.5</v>
      </c>
    </row>
    <row r="82" spans="1:9" s="20" customFormat="1" ht="21" customHeight="1">
      <c r="A82" s="60"/>
      <c r="B82" s="26" t="s">
        <v>177</v>
      </c>
      <c r="C82" s="26" t="s">
        <v>370</v>
      </c>
      <c r="D82" s="12">
        <v>60006587652</v>
      </c>
      <c r="E82" s="33" t="s">
        <v>178</v>
      </c>
      <c r="F82" s="85">
        <f>980/2</f>
        <v>490</v>
      </c>
      <c r="G82" s="47">
        <v>0</v>
      </c>
      <c r="H82" s="75">
        <v>0</v>
      </c>
      <c r="I82" s="51">
        <f t="shared" si="1"/>
        <v>490</v>
      </c>
    </row>
    <row r="83" spans="1:9" ht="21" customHeight="1">
      <c r="A83" s="60"/>
      <c r="B83" s="26" t="s">
        <v>179</v>
      </c>
      <c r="C83" s="26" t="s">
        <v>334</v>
      </c>
      <c r="D83" s="12">
        <v>60006587671</v>
      </c>
      <c r="E83" s="30" t="s">
        <v>180</v>
      </c>
      <c r="F83" s="86">
        <f>818/2</f>
        <v>409</v>
      </c>
      <c r="G83" s="49">
        <v>0</v>
      </c>
      <c r="H83" s="76">
        <v>0</v>
      </c>
      <c r="I83" s="51">
        <f t="shared" si="1"/>
        <v>409</v>
      </c>
    </row>
    <row r="84" spans="1:9" ht="21" customHeight="1">
      <c r="A84" s="60"/>
      <c r="B84" s="26" t="s">
        <v>181</v>
      </c>
      <c r="C84" s="26" t="s">
        <v>335</v>
      </c>
      <c r="D84" s="12">
        <v>60006593566</v>
      </c>
      <c r="E84" s="30" t="s">
        <v>182</v>
      </c>
      <c r="F84" s="46">
        <f>649/2</f>
        <v>324.5</v>
      </c>
      <c r="G84" s="46">
        <v>0</v>
      </c>
      <c r="H84" s="74">
        <v>0</v>
      </c>
      <c r="I84" s="51">
        <f t="shared" si="1"/>
        <v>324.5</v>
      </c>
    </row>
    <row r="85" spans="1:9" ht="21" customHeight="1">
      <c r="A85" s="60"/>
      <c r="B85" s="26" t="s">
        <v>183</v>
      </c>
      <c r="C85" s="26" t="s">
        <v>336</v>
      </c>
      <c r="D85" s="12">
        <v>60006601563</v>
      </c>
      <c r="E85" s="30" t="s">
        <v>184</v>
      </c>
      <c r="F85" s="46">
        <f>836/2</f>
        <v>418</v>
      </c>
      <c r="G85" s="46">
        <v>0</v>
      </c>
      <c r="H85" s="74">
        <v>0</v>
      </c>
      <c r="I85" s="51">
        <f t="shared" si="1"/>
        <v>418</v>
      </c>
    </row>
    <row r="86" spans="1:9" ht="21" customHeight="1">
      <c r="A86" s="60"/>
      <c r="B86" s="26" t="s">
        <v>185</v>
      </c>
      <c r="C86" s="26" t="s">
        <v>310</v>
      </c>
      <c r="D86" s="12">
        <v>60006630551</v>
      </c>
      <c r="E86" s="30" t="s">
        <v>186</v>
      </c>
      <c r="F86" s="46">
        <f>1178/2</f>
        <v>589</v>
      </c>
      <c r="G86" s="46">
        <v>0</v>
      </c>
      <c r="H86" s="74">
        <v>0</v>
      </c>
      <c r="I86" s="51">
        <f t="shared" si="1"/>
        <v>589</v>
      </c>
    </row>
    <row r="87" spans="1:9" ht="21" customHeight="1">
      <c r="A87" s="60"/>
      <c r="B87" s="26" t="s">
        <v>187</v>
      </c>
      <c r="C87" s="26" t="s">
        <v>287</v>
      </c>
      <c r="D87" s="12">
        <v>60006631759</v>
      </c>
      <c r="E87" s="30" t="s">
        <v>188</v>
      </c>
      <c r="F87" s="46">
        <f>525/2</f>
        <v>262.5</v>
      </c>
      <c r="G87" s="46">
        <v>0</v>
      </c>
      <c r="H87" s="74">
        <v>0</v>
      </c>
      <c r="I87" s="51">
        <f t="shared" si="1"/>
        <v>262.5</v>
      </c>
    </row>
    <row r="88" spans="1:9" ht="21" customHeight="1">
      <c r="A88" s="60"/>
      <c r="B88" s="26" t="s">
        <v>189</v>
      </c>
      <c r="C88" s="26" t="s">
        <v>339</v>
      </c>
      <c r="D88" s="12">
        <v>60006631974</v>
      </c>
      <c r="E88" s="30" t="s">
        <v>190</v>
      </c>
      <c r="F88" s="46">
        <f>7025/3</f>
        <v>2341.6666666666665</v>
      </c>
      <c r="G88" s="46">
        <v>0</v>
      </c>
      <c r="H88" s="74">
        <v>0</v>
      </c>
      <c r="I88" s="51">
        <f t="shared" si="1"/>
        <v>2341.6666666666665</v>
      </c>
    </row>
    <row r="89" spans="1:9" ht="21" customHeight="1">
      <c r="A89" s="60"/>
      <c r="B89" s="26" t="s">
        <v>191</v>
      </c>
      <c r="C89" s="26" t="s">
        <v>356</v>
      </c>
      <c r="D89" s="12">
        <v>60007843337</v>
      </c>
      <c r="E89" s="30" t="s">
        <v>192</v>
      </c>
      <c r="F89" s="46">
        <f>1284/2</f>
        <v>642</v>
      </c>
      <c r="G89" s="46">
        <v>0</v>
      </c>
      <c r="H89" s="74">
        <v>0</v>
      </c>
      <c r="I89" s="51">
        <f t="shared" si="1"/>
        <v>642</v>
      </c>
    </row>
    <row r="90" spans="1:9" ht="21" customHeight="1">
      <c r="A90" s="60"/>
      <c r="B90" s="26" t="s">
        <v>193</v>
      </c>
      <c r="C90" s="26" t="s">
        <v>305</v>
      </c>
      <c r="D90" s="12">
        <v>60006631992</v>
      </c>
      <c r="E90" s="30" t="s">
        <v>194</v>
      </c>
      <c r="F90" s="46">
        <v>1121</v>
      </c>
      <c r="G90" s="46">
        <v>0</v>
      </c>
      <c r="H90" s="74">
        <v>0</v>
      </c>
      <c r="I90" s="51">
        <f t="shared" si="1"/>
        <v>1121</v>
      </c>
    </row>
    <row r="91" spans="1:9" ht="21" customHeight="1">
      <c r="A91" s="60"/>
      <c r="B91" s="26" t="s">
        <v>195</v>
      </c>
      <c r="C91" s="26" t="s">
        <v>341</v>
      </c>
      <c r="D91" s="12">
        <v>60006632013</v>
      </c>
      <c r="E91" s="30" t="s">
        <v>196</v>
      </c>
      <c r="F91" s="46">
        <v>0</v>
      </c>
      <c r="G91" s="46">
        <v>0</v>
      </c>
      <c r="H91" s="74">
        <v>0</v>
      </c>
      <c r="I91" s="51">
        <f t="shared" si="1"/>
        <v>0</v>
      </c>
    </row>
    <row r="92" spans="1:9" ht="21" customHeight="1">
      <c r="A92" s="60"/>
      <c r="B92" s="26" t="s">
        <v>197</v>
      </c>
      <c r="C92" s="26" t="s">
        <v>288</v>
      </c>
      <c r="D92" s="12">
        <v>60006632028</v>
      </c>
      <c r="E92" s="30" t="s">
        <v>198</v>
      </c>
      <c r="F92" s="46">
        <f>4881/2</f>
        <v>2440.5</v>
      </c>
      <c r="G92" s="46">
        <v>0</v>
      </c>
      <c r="H92" s="74">
        <v>0</v>
      </c>
      <c r="I92" s="51">
        <f t="shared" si="1"/>
        <v>2440.5</v>
      </c>
    </row>
    <row r="93" spans="1:9" ht="21" customHeight="1">
      <c r="A93" s="60"/>
      <c r="B93" s="26" t="s">
        <v>199</v>
      </c>
      <c r="C93" s="26" t="s">
        <v>342</v>
      </c>
      <c r="D93" s="12">
        <v>60006632034</v>
      </c>
      <c r="E93" s="30" t="s">
        <v>200</v>
      </c>
      <c r="F93" s="84">
        <f>340/2</f>
        <v>170</v>
      </c>
      <c r="G93" s="46">
        <v>0</v>
      </c>
      <c r="H93" s="74">
        <v>0</v>
      </c>
      <c r="I93" s="51">
        <f t="shared" si="1"/>
        <v>170</v>
      </c>
    </row>
    <row r="94" spans="1:9" ht="21" customHeight="1">
      <c r="A94" s="60"/>
      <c r="B94" s="26" t="s">
        <v>201</v>
      </c>
      <c r="C94" s="26" t="s">
        <v>343</v>
      </c>
      <c r="D94" s="12">
        <v>60006637176</v>
      </c>
      <c r="E94" s="30" t="s">
        <v>202</v>
      </c>
      <c r="F94" s="84">
        <f>412/2</f>
        <v>206</v>
      </c>
      <c r="G94" s="46">
        <v>0</v>
      </c>
      <c r="H94" s="74">
        <v>0</v>
      </c>
      <c r="I94" s="51">
        <f t="shared" si="1"/>
        <v>206</v>
      </c>
    </row>
    <row r="95" spans="1:9" ht="21" customHeight="1">
      <c r="A95" s="60"/>
      <c r="B95" s="26" t="s">
        <v>203</v>
      </c>
      <c r="C95" s="93"/>
      <c r="D95" s="12">
        <v>60006637235</v>
      </c>
      <c r="E95" s="30" t="s">
        <v>204</v>
      </c>
      <c r="F95" s="84">
        <f>144/2</f>
        <v>72</v>
      </c>
      <c r="G95" s="46">
        <v>0</v>
      </c>
      <c r="H95" s="74">
        <v>0</v>
      </c>
      <c r="I95" s="51">
        <f t="shared" si="1"/>
        <v>72</v>
      </c>
    </row>
    <row r="96" spans="1:9" ht="21" customHeight="1">
      <c r="A96" s="60"/>
      <c r="B96" s="26" t="s">
        <v>205</v>
      </c>
      <c r="C96" s="26" t="s">
        <v>306</v>
      </c>
      <c r="D96" s="12">
        <v>60006637714</v>
      </c>
      <c r="E96" s="30" t="s">
        <v>206</v>
      </c>
      <c r="F96" s="84">
        <f>232/2</f>
        <v>116</v>
      </c>
      <c r="G96" s="46">
        <v>0</v>
      </c>
      <c r="H96" s="74">
        <v>0</v>
      </c>
      <c r="I96" s="51">
        <f t="shared" si="1"/>
        <v>116</v>
      </c>
    </row>
    <row r="97" spans="1:9" ht="21" customHeight="1">
      <c r="A97" s="60"/>
      <c r="B97" s="26" t="s">
        <v>207</v>
      </c>
      <c r="C97" s="93"/>
      <c r="D97" s="12">
        <v>60006642108</v>
      </c>
      <c r="E97" s="30" t="s">
        <v>208</v>
      </c>
      <c r="F97" s="84">
        <f>144/2</f>
        <v>72</v>
      </c>
      <c r="G97" s="46">
        <v>0</v>
      </c>
      <c r="H97" s="74">
        <v>0</v>
      </c>
      <c r="I97" s="51">
        <f t="shared" si="1"/>
        <v>72</v>
      </c>
    </row>
    <row r="98" spans="1:9" ht="21" customHeight="1">
      <c r="A98" s="60"/>
      <c r="B98" s="26" t="s">
        <v>209</v>
      </c>
      <c r="C98" s="93"/>
      <c r="D98" s="12">
        <v>60006642114</v>
      </c>
      <c r="E98" s="30" t="s">
        <v>210</v>
      </c>
      <c r="F98" s="84">
        <f>144/2</f>
        <v>72</v>
      </c>
      <c r="G98" s="46">
        <v>0</v>
      </c>
      <c r="H98" s="74">
        <v>0</v>
      </c>
      <c r="I98" s="51">
        <f t="shared" si="1"/>
        <v>72</v>
      </c>
    </row>
    <row r="99" spans="1:9" ht="21" customHeight="1">
      <c r="A99" s="60"/>
      <c r="B99" s="26" t="s">
        <v>211</v>
      </c>
      <c r="C99" s="26" t="s">
        <v>290</v>
      </c>
      <c r="D99" s="12">
        <v>60006644426</v>
      </c>
      <c r="E99" s="30" t="s">
        <v>212</v>
      </c>
      <c r="F99" s="46">
        <v>472</v>
      </c>
      <c r="G99" s="46">
        <v>0</v>
      </c>
      <c r="H99" s="74">
        <v>0</v>
      </c>
      <c r="I99" s="51">
        <f t="shared" si="1"/>
        <v>472</v>
      </c>
    </row>
    <row r="100" spans="1:9" ht="21" customHeight="1">
      <c r="A100" s="60"/>
      <c r="B100" s="26" t="s">
        <v>213</v>
      </c>
      <c r="C100" s="93"/>
      <c r="D100" s="12">
        <v>60006644431</v>
      </c>
      <c r="E100" s="30" t="s">
        <v>214</v>
      </c>
      <c r="F100" s="46">
        <v>610</v>
      </c>
      <c r="G100" s="46">
        <v>0</v>
      </c>
      <c r="H100" s="74">
        <v>0</v>
      </c>
      <c r="I100" s="51">
        <f t="shared" si="1"/>
        <v>610</v>
      </c>
    </row>
    <row r="101" spans="1:9" ht="21" customHeight="1">
      <c r="A101" s="60"/>
      <c r="B101" s="26" t="s">
        <v>215</v>
      </c>
      <c r="C101" s="26" t="s">
        <v>344</v>
      </c>
      <c r="D101" s="12">
        <v>60006644654</v>
      </c>
      <c r="E101" s="30" t="s">
        <v>216</v>
      </c>
      <c r="F101" s="85">
        <f>215/2</f>
        <v>107.5</v>
      </c>
      <c r="G101" s="47">
        <v>0</v>
      </c>
      <c r="H101" s="75">
        <v>0</v>
      </c>
      <c r="I101" s="92">
        <f t="shared" si="1"/>
        <v>107.5</v>
      </c>
    </row>
    <row r="102" spans="1:9" ht="21" customHeight="1">
      <c r="A102" s="60"/>
      <c r="B102" s="26" t="s">
        <v>217</v>
      </c>
      <c r="C102" s="93"/>
      <c r="D102" s="12">
        <v>60007182237</v>
      </c>
      <c r="E102" s="30" t="s">
        <v>218</v>
      </c>
      <c r="F102" s="46"/>
      <c r="G102" s="46"/>
      <c r="H102" s="74"/>
      <c r="I102" s="51">
        <f t="shared" si="1"/>
        <v>0</v>
      </c>
    </row>
    <row r="103" spans="1:9" ht="21" customHeight="1">
      <c r="A103" s="60"/>
      <c r="B103" s="26" t="s">
        <v>219</v>
      </c>
      <c r="C103" s="26" t="s">
        <v>354</v>
      </c>
      <c r="D103" s="12">
        <v>60007843211</v>
      </c>
      <c r="E103" s="30" t="s">
        <v>220</v>
      </c>
      <c r="F103" s="46">
        <v>203</v>
      </c>
      <c r="G103" s="46">
        <v>0</v>
      </c>
      <c r="H103" s="74">
        <v>0</v>
      </c>
      <c r="I103" s="51">
        <f t="shared" si="1"/>
        <v>203</v>
      </c>
    </row>
    <row r="104" spans="1:9" ht="21" customHeight="1">
      <c r="A104" s="60"/>
      <c r="B104" s="26" t="s">
        <v>221</v>
      </c>
      <c r="C104" s="26" t="s">
        <v>355</v>
      </c>
      <c r="D104" s="12">
        <v>60007843225</v>
      </c>
      <c r="E104" s="30" t="s">
        <v>222</v>
      </c>
      <c r="F104" s="46">
        <v>0</v>
      </c>
      <c r="G104" s="46">
        <v>0</v>
      </c>
      <c r="H104" s="74">
        <v>0</v>
      </c>
      <c r="I104" s="51">
        <f t="shared" si="1"/>
        <v>0</v>
      </c>
    </row>
    <row r="105" spans="1:9" ht="21" customHeight="1">
      <c r="A105" s="60"/>
      <c r="B105" s="26" t="s">
        <v>223</v>
      </c>
      <c r="C105" s="26" t="s">
        <v>347</v>
      </c>
      <c r="D105" s="12">
        <v>60007211343</v>
      </c>
      <c r="E105" s="30" t="s">
        <v>224</v>
      </c>
      <c r="F105" s="84">
        <v>0</v>
      </c>
      <c r="G105" s="46">
        <v>0</v>
      </c>
      <c r="H105" s="74">
        <v>0</v>
      </c>
      <c r="I105" s="51">
        <f t="shared" si="1"/>
        <v>0</v>
      </c>
    </row>
    <row r="106" spans="1:9" ht="21" customHeight="1">
      <c r="A106" s="60"/>
      <c r="B106" s="26" t="s">
        <v>225</v>
      </c>
      <c r="C106" s="26" t="s">
        <v>346</v>
      </c>
      <c r="D106" s="12">
        <v>60007211339</v>
      </c>
      <c r="E106" s="30" t="s">
        <v>226</v>
      </c>
      <c r="F106" s="84">
        <f>339/2</f>
        <v>169.5</v>
      </c>
      <c r="G106" s="46">
        <v>0</v>
      </c>
      <c r="H106" s="74">
        <v>0</v>
      </c>
      <c r="I106" s="51">
        <f t="shared" si="1"/>
        <v>169.5</v>
      </c>
    </row>
    <row r="107" spans="1:9" ht="21" customHeight="1">
      <c r="A107" s="60"/>
      <c r="B107" s="26" t="s">
        <v>227</v>
      </c>
      <c r="C107" s="26" t="s">
        <v>291</v>
      </c>
      <c r="D107" s="12">
        <v>60007239731</v>
      </c>
      <c r="E107" s="30" t="s">
        <v>228</v>
      </c>
      <c r="F107" s="84">
        <f>1097/2</f>
        <v>548.5</v>
      </c>
      <c r="G107" s="46">
        <v>0</v>
      </c>
      <c r="H107" s="74">
        <v>0</v>
      </c>
      <c r="I107" s="51">
        <f t="shared" si="1"/>
        <v>548.5</v>
      </c>
    </row>
    <row r="108" spans="1:9" ht="21" customHeight="1">
      <c r="A108" s="60"/>
      <c r="B108" s="26" t="s">
        <v>229</v>
      </c>
      <c r="C108" s="26" t="s">
        <v>348</v>
      </c>
      <c r="D108" s="12">
        <v>60007483419</v>
      </c>
      <c r="E108" s="30" t="s">
        <v>230</v>
      </c>
      <c r="F108" s="84">
        <f>203/2</f>
        <v>101.5</v>
      </c>
      <c r="G108" s="46">
        <v>0</v>
      </c>
      <c r="H108" s="74">
        <v>0</v>
      </c>
      <c r="I108" s="51">
        <f t="shared" si="1"/>
        <v>101.5</v>
      </c>
    </row>
    <row r="109" spans="1:9" ht="21" customHeight="1">
      <c r="A109" s="60"/>
      <c r="B109" s="26" t="s">
        <v>231</v>
      </c>
      <c r="C109" s="26" t="s">
        <v>301</v>
      </c>
      <c r="D109" s="12">
        <v>60006579638</v>
      </c>
      <c r="E109" s="30" t="s">
        <v>232</v>
      </c>
      <c r="F109" s="46">
        <v>0</v>
      </c>
      <c r="G109" s="46">
        <v>0</v>
      </c>
      <c r="H109" s="74">
        <v>0</v>
      </c>
      <c r="I109" s="51">
        <f t="shared" si="1"/>
        <v>0</v>
      </c>
    </row>
    <row r="110" spans="1:9" ht="21" customHeight="1">
      <c r="A110" s="60"/>
      <c r="B110" s="26" t="s">
        <v>233</v>
      </c>
      <c r="C110" s="26" t="s">
        <v>349</v>
      </c>
      <c r="D110" s="12">
        <v>60006579657</v>
      </c>
      <c r="E110" s="30" t="s">
        <v>234</v>
      </c>
      <c r="F110" s="46">
        <v>701</v>
      </c>
      <c r="G110" s="46">
        <v>0</v>
      </c>
      <c r="H110" s="74">
        <v>0</v>
      </c>
      <c r="I110" s="51">
        <f t="shared" si="1"/>
        <v>701</v>
      </c>
    </row>
    <row r="111" spans="1:9" ht="21" customHeight="1">
      <c r="A111" s="60"/>
      <c r="B111" s="26" t="s">
        <v>235</v>
      </c>
      <c r="C111" s="93"/>
      <c r="D111" s="12">
        <v>60006579676</v>
      </c>
      <c r="E111" s="30" t="s">
        <v>236</v>
      </c>
      <c r="F111" s="46">
        <v>11</v>
      </c>
      <c r="G111" s="46">
        <v>0</v>
      </c>
      <c r="H111" s="74">
        <v>0</v>
      </c>
      <c r="I111" s="51">
        <f t="shared" si="1"/>
        <v>11</v>
      </c>
    </row>
    <row r="112" spans="1:9" ht="21" customHeight="1">
      <c r="A112" s="60"/>
      <c r="B112" s="26" t="s">
        <v>237</v>
      </c>
      <c r="C112" s="26" t="s">
        <v>351</v>
      </c>
      <c r="D112" s="12">
        <v>60007631681</v>
      </c>
      <c r="E112" s="30" t="s">
        <v>238</v>
      </c>
      <c r="F112" s="46">
        <v>102</v>
      </c>
      <c r="G112" s="46">
        <v>0</v>
      </c>
      <c r="H112" s="74">
        <v>0</v>
      </c>
      <c r="I112" s="51">
        <f t="shared" si="1"/>
        <v>102</v>
      </c>
    </row>
    <row r="113" spans="1:9" ht="21" customHeight="1">
      <c r="A113" s="60"/>
      <c r="B113" s="26" t="s">
        <v>239</v>
      </c>
      <c r="C113" s="26" t="s">
        <v>357</v>
      </c>
      <c r="D113" s="12">
        <v>60007848373</v>
      </c>
      <c r="E113" s="30" t="s">
        <v>240</v>
      </c>
      <c r="F113" s="46">
        <f>2145/2</f>
        <v>1072.5</v>
      </c>
      <c r="G113" s="46">
        <v>0</v>
      </c>
      <c r="H113" s="74">
        <v>0</v>
      </c>
      <c r="I113" s="51">
        <f t="shared" si="1"/>
        <v>1072.5</v>
      </c>
    </row>
    <row r="114" spans="1:9" ht="21" customHeight="1">
      <c r="A114" s="60"/>
      <c r="B114" s="26" t="s">
        <v>241</v>
      </c>
      <c r="C114" s="26" t="s">
        <v>338</v>
      </c>
      <c r="D114" s="12">
        <v>60006631880</v>
      </c>
      <c r="E114" s="30" t="s">
        <v>242</v>
      </c>
      <c r="F114" s="46">
        <f>123/2</f>
        <v>61.5</v>
      </c>
      <c r="G114" s="46">
        <v>0</v>
      </c>
      <c r="H114" s="74">
        <v>0</v>
      </c>
      <c r="I114" s="51">
        <f t="shared" si="1"/>
        <v>61.5</v>
      </c>
    </row>
    <row r="115" spans="1:9" ht="21" customHeight="1">
      <c r="A115" s="64"/>
      <c r="B115" s="26" t="s">
        <v>243</v>
      </c>
      <c r="C115" s="26" t="s">
        <v>320</v>
      </c>
      <c r="D115" s="12">
        <v>60006631920</v>
      </c>
      <c r="E115" s="30" t="s">
        <v>244</v>
      </c>
      <c r="F115" s="49">
        <f>1274/2</f>
        <v>637</v>
      </c>
      <c r="G115" s="49">
        <v>0</v>
      </c>
      <c r="H115" s="76">
        <v>0</v>
      </c>
      <c r="I115" s="51">
        <f t="shared" si="1"/>
        <v>637</v>
      </c>
    </row>
    <row r="116" spans="1:9" ht="21" customHeight="1">
      <c r="A116" s="64"/>
      <c r="B116" s="26" t="s">
        <v>245</v>
      </c>
      <c r="C116" s="26" t="s">
        <v>340</v>
      </c>
      <c r="D116" s="12">
        <v>60006631987</v>
      </c>
      <c r="E116" s="30" t="s">
        <v>246</v>
      </c>
      <c r="F116" s="49">
        <f>947/2</f>
        <v>473.5</v>
      </c>
      <c r="G116" s="49">
        <v>0</v>
      </c>
      <c r="H116" s="76">
        <v>0</v>
      </c>
      <c r="I116" s="51">
        <f t="shared" si="1"/>
        <v>473.5</v>
      </c>
    </row>
    <row r="117" spans="1:9" ht="21" customHeight="1">
      <c r="A117" s="64"/>
      <c r="B117" s="26" t="s">
        <v>247</v>
      </c>
      <c r="C117" s="26" t="s">
        <v>373</v>
      </c>
      <c r="D117" s="12">
        <v>60006632009</v>
      </c>
      <c r="E117" s="30" t="s">
        <v>248</v>
      </c>
      <c r="F117" s="49">
        <f>4838/2</f>
        <v>2419</v>
      </c>
      <c r="G117" s="49">
        <v>0</v>
      </c>
      <c r="H117" s="76">
        <v>0</v>
      </c>
      <c r="I117" s="51">
        <f t="shared" si="1"/>
        <v>2419</v>
      </c>
    </row>
    <row r="118" spans="1:9" ht="21" customHeight="1">
      <c r="A118" s="64"/>
      <c r="B118" s="26" t="s">
        <v>249</v>
      </c>
      <c r="C118" s="26" t="s">
        <v>350</v>
      </c>
      <c r="D118" s="12">
        <v>60007611240</v>
      </c>
      <c r="E118" s="30" t="s">
        <v>250</v>
      </c>
      <c r="F118" s="49">
        <f>3190/2</f>
        <v>1595</v>
      </c>
      <c r="G118" s="49">
        <v>0</v>
      </c>
      <c r="H118" s="76">
        <v>0</v>
      </c>
      <c r="I118" s="51">
        <f t="shared" si="1"/>
        <v>1595</v>
      </c>
    </row>
    <row r="119" spans="1:9" ht="21" customHeight="1">
      <c r="A119" s="64"/>
      <c r="B119" s="26" t="s">
        <v>251</v>
      </c>
      <c r="C119" s="26" t="s">
        <v>337</v>
      </c>
      <c r="D119" s="12">
        <v>60006613294</v>
      </c>
      <c r="E119" s="30" t="s">
        <v>252</v>
      </c>
      <c r="F119" s="49">
        <f>662/2</f>
        <v>331</v>
      </c>
      <c r="G119" s="49">
        <v>0</v>
      </c>
      <c r="H119" s="76">
        <v>0</v>
      </c>
      <c r="I119" s="51">
        <f t="shared" si="1"/>
        <v>331</v>
      </c>
    </row>
    <row r="120" spans="1:9" ht="21" customHeight="1">
      <c r="A120" s="64"/>
      <c r="B120" s="26" t="s">
        <v>253</v>
      </c>
      <c r="C120" s="26" t="s">
        <v>303</v>
      </c>
      <c r="D120" s="12">
        <v>60006631725</v>
      </c>
      <c r="E120" s="30" t="s">
        <v>254</v>
      </c>
      <c r="F120" s="86">
        <f>1168/2</f>
        <v>584</v>
      </c>
      <c r="G120" s="49">
        <v>0</v>
      </c>
      <c r="H120" s="76">
        <v>0</v>
      </c>
      <c r="I120" s="51">
        <f t="shared" si="1"/>
        <v>584</v>
      </c>
    </row>
    <row r="121" spans="1:9" ht="21" customHeight="1">
      <c r="A121" s="64"/>
      <c r="B121" s="26" t="s">
        <v>255</v>
      </c>
      <c r="C121" s="26" t="s">
        <v>304</v>
      </c>
      <c r="D121" s="12">
        <v>60006631818</v>
      </c>
      <c r="E121" s="30" t="s">
        <v>256</v>
      </c>
      <c r="F121" s="49">
        <v>46</v>
      </c>
      <c r="G121" s="49">
        <v>0</v>
      </c>
      <c r="H121" s="76">
        <v>0</v>
      </c>
      <c r="I121" s="51">
        <f aca="true" t="shared" si="2" ref="I121:I130">F121+G121+H121</f>
        <v>46</v>
      </c>
    </row>
    <row r="122" spans="1:9" ht="21" customHeight="1">
      <c r="A122" s="64"/>
      <c r="B122" s="25" t="s">
        <v>257</v>
      </c>
      <c r="C122" s="95"/>
      <c r="D122" s="14">
        <v>60006631824</v>
      </c>
      <c r="E122" s="45" t="s">
        <v>258</v>
      </c>
      <c r="F122" s="49">
        <f>7951*0.25+10601*0.25</f>
        <v>4638</v>
      </c>
      <c r="G122" s="49">
        <v>0</v>
      </c>
      <c r="H122" s="76">
        <v>0</v>
      </c>
      <c r="I122" s="51">
        <f t="shared" si="2"/>
        <v>4638</v>
      </c>
    </row>
    <row r="123" spans="1:9" ht="21" customHeight="1">
      <c r="A123" s="64"/>
      <c r="B123" s="25" t="s">
        <v>259</v>
      </c>
      <c r="C123" s="25" t="s">
        <v>345</v>
      </c>
      <c r="D123" s="14">
        <v>60006872372</v>
      </c>
      <c r="E123" s="45" t="s">
        <v>260</v>
      </c>
      <c r="F123" s="49">
        <v>122</v>
      </c>
      <c r="G123" s="49">
        <v>0</v>
      </c>
      <c r="H123" s="76">
        <v>0</v>
      </c>
      <c r="I123" s="51">
        <f t="shared" si="2"/>
        <v>122</v>
      </c>
    </row>
    <row r="124" spans="1:9" ht="21" customHeight="1">
      <c r="A124" s="64"/>
      <c r="B124" s="25" t="s">
        <v>261</v>
      </c>
      <c r="C124" s="25" t="s">
        <v>321</v>
      </c>
      <c r="D124" s="14">
        <v>60006974384</v>
      </c>
      <c r="E124" s="45" t="s">
        <v>262</v>
      </c>
      <c r="F124" s="86">
        <f>925/2</f>
        <v>462.5</v>
      </c>
      <c r="G124" s="49">
        <v>0</v>
      </c>
      <c r="H124" s="76">
        <v>0</v>
      </c>
      <c r="I124" s="51">
        <f t="shared" si="2"/>
        <v>462.5</v>
      </c>
    </row>
    <row r="125" spans="1:9" ht="21" customHeight="1">
      <c r="A125" s="64"/>
      <c r="B125" s="25" t="s">
        <v>263</v>
      </c>
      <c r="C125" s="25" t="s">
        <v>368</v>
      </c>
      <c r="D125" s="14">
        <v>60006581324</v>
      </c>
      <c r="E125" s="45" t="s">
        <v>264</v>
      </c>
      <c r="F125" s="49">
        <v>3377</v>
      </c>
      <c r="G125" s="49">
        <v>0</v>
      </c>
      <c r="H125" s="76">
        <v>0</v>
      </c>
      <c r="I125" s="51">
        <f t="shared" si="2"/>
        <v>3377</v>
      </c>
    </row>
    <row r="126" spans="1:9" ht="21" customHeight="1">
      <c r="A126" s="64"/>
      <c r="B126" s="25" t="s">
        <v>265</v>
      </c>
      <c r="C126" s="25" t="s">
        <v>352</v>
      </c>
      <c r="D126" s="14">
        <v>60007651627</v>
      </c>
      <c r="E126" s="45" t="s">
        <v>266</v>
      </c>
      <c r="F126" s="49">
        <v>247</v>
      </c>
      <c r="G126" s="49">
        <v>0</v>
      </c>
      <c r="H126" s="76">
        <v>0</v>
      </c>
      <c r="I126" s="51">
        <f t="shared" si="2"/>
        <v>247</v>
      </c>
    </row>
    <row r="127" spans="1:9" ht="21" customHeight="1">
      <c r="A127" s="64"/>
      <c r="B127" s="25" t="s">
        <v>267</v>
      </c>
      <c r="C127" s="95"/>
      <c r="D127" s="14">
        <v>83007351147</v>
      </c>
      <c r="E127" s="45" t="s">
        <v>268</v>
      </c>
      <c r="F127" s="49">
        <v>12</v>
      </c>
      <c r="G127" s="49">
        <v>0</v>
      </c>
      <c r="H127" s="76">
        <v>0</v>
      </c>
      <c r="I127" s="51">
        <f t="shared" si="2"/>
        <v>12</v>
      </c>
    </row>
    <row r="128" spans="1:9" ht="21" customHeight="1">
      <c r="A128" s="64"/>
      <c r="B128" s="25" t="s">
        <v>269</v>
      </c>
      <c r="C128" s="25"/>
      <c r="D128" s="14">
        <v>83007705623</v>
      </c>
      <c r="E128" s="45" t="s">
        <v>270</v>
      </c>
      <c r="F128" s="49">
        <v>25</v>
      </c>
      <c r="G128" s="49">
        <v>0</v>
      </c>
      <c r="H128" s="76">
        <v>0</v>
      </c>
      <c r="I128" s="51">
        <f t="shared" si="2"/>
        <v>25</v>
      </c>
    </row>
    <row r="129" spans="1:9" ht="21" customHeight="1">
      <c r="A129" s="64"/>
      <c r="B129" s="25" t="s">
        <v>271</v>
      </c>
      <c r="C129" s="25"/>
      <c r="D129" s="14">
        <v>83007812488</v>
      </c>
      <c r="E129" s="45" t="s">
        <v>272</v>
      </c>
      <c r="F129" s="49">
        <f>297/2</f>
        <v>148.5</v>
      </c>
      <c r="G129" s="49">
        <v>0</v>
      </c>
      <c r="H129" s="76">
        <v>0</v>
      </c>
      <c r="I129" s="51">
        <f t="shared" si="2"/>
        <v>148.5</v>
      </c>
    </row>
    <row r="130" spans="1:9" ht="21" customHeight="1">
      <c r="A130" s="64"/>
      <c r="B130" s="25" t="s">
        <v>273</v>
      </c>
      <c r="C130" s="25"/>
      <c r="D130" s="14">
        <v>83007946440</v>
      </c>
      <c r="E130" s="45" t="s">
        <v>274</v>
      </c>
      <c r="F130" s="49"/>
      <c r="G130" s="49"/>
      <c r="H130" s="76"/>
      <c r="I130" s="51">
        <f t="shared" si="2"/>
        <v>0</v>
      </c>
    </row>
    <row r="131" spans="1:9" ht="21" customHeight="1" thickBot="1">
      <c r="A131" s="65" t="s">
        <v>0</v>
      </c>
      <c r="B131" s="66"/>
      <c r="C131" s="66"/>
      <c r="D131" s="13"/>
      <c r="E131" s="13"/>
      <c r="F131" s="69"/>
      <c r="G131" s="69"/>
      <c r="H131" s="77"/>
      <c r="I131" s="70">
        <f>SUM(I8:I130)</f>
        <v>119403.16666666667</v>
      </c>
    </row>
    <row r="132" ht="13.5" thickTop="1"/>
  </sheetData>
  <sheetProtection/>
  <mergeCells count="3">
    <mergeCell ref="F2:I2"/>
    <mergeCell ref="G3:I3"/>
    <mergeCell ref="F4:I4"/>
  </mergeCells>
  <printOptions horizontalCentered="1"/>
  <pageMargins left="0.3937007874015748" right="0.3937007874015748" top="0.5905511811023623" bottom="0.5905511811023623" header="0" footer="0"/>
  <pageSetup fitToHeight="0" fitToWidth="1" horizontalDpi="300" verticalDpi="300" orientation="portrait" paperSize="9" scale="31" r:id="rId1"/>
  <headerFooter alignWithMargins="0">
    <oddHeader>&amp;R&amp;D</oddHeader>
    <oddFooter>&amp;CPágina &amp;P de &amp;N</oddFooter>
  </headerFooter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M131"/>
  <sheetViews>
    <sheetView zoomScale="90" zoomScaleNormal="90" zoomScalePageLayoutView="0" workbookViewId="0" topLeftCell="D122">
      <selection activeCell="A54" sqref="A54:IV56"/>
    </sheetView>
  </sheetViews>
  <sheetFormatPr defaultColWidth="11.421875" defaultRowHeight="12.75"/>
  <cols>
    <col min="1" max="1" width="15.140625" style="1" customWidth="1"/>
    <col min="2" max="2" width="86.57421875" style="21" customWidth="1"/>
    <col min="3" max="3" width="103.8515625" style="21" customWidth="1"/>
    <col min="4" max="4" width="20.28125" style="1" customWidth="1"/>
    <col min="5" max="5" width="34.00390625" style="1" hidden="1" customWidth="1"/>
    <col min="6" max="6" width="22.57421875" style="2" customWidth="1"/>
    <col min="7" max="7" width="23.421875" style="2" customWidth="1"/>
    <col min="8" max="8" width="19.140625" style="2" customWidth="1"/>
    <col min="9" max="9" width="18.28125" style="2" bestFit="1" customWidth="1"/>
    <col min="10" max="10" width="11.421875" style="1" customWidth="1"/>
    <col min="11" max="11" width="11.57421875" style="1" bestFit="1" customWidth="1"/>
    <col min="12" max="16384" width="11.421875" style="1" customWidth="1"/>
  </cols>
  <sheetData>
    <row r="1" ht="15.75" customHeight="1"/>
    <row r="2" spans="7:9" ht="42.75" customHeight="1">
      <c r="G2" s="96" t="s">
        <v>9</v>
      </c>
      <c r="H2" s="96"/>
      <c r="I2" s="96"/>
    </row>
    <row r="3" spans="8:9" ht="33.75" customHeight="1">
      <c r="H3" s="97"/>
      <c r="I3" s="97"/>
    </row>
    <row r="4" spans="7:9" ht="21.75" customHeight="1">
      <c r="G4" s="98" t="s">
        <v>117</v>
      </c>
      <c r="H4" s="98"/>
      <c r="I4" s="98"/>
    </row>
    <row r="5" ht="15.75" customHeight="1"/>
    <row r="6" spans="1:8" ht="15.75" customHeight="1" thickBot="1">
      <c r="A6" s="3"/>
      <c r="B6" s="22"/>
      <c r="C6" s="22"/>
      <c r="D6" s="3"/>
      <c r="E6" s="3"/>
      <c r="F6" s="4"/>
      <c r="G6" s="4"/>
      <c r="H6" s="4"/>
    </row>
    <row r="7" spans="1:9" ht="21" customHeight="1" thickTop="1">
      <c r="A7" s="5" t="s">
        <v>1</v>
      </c>
      <c r="B7" s="23" t="s">
        <v>3</v>
      </c>
      <c r="C7" s="23" t="s">
        <v>285</v>
      </c>
      <c r="D7" s="11" t="s">
        <v>2</v>
      </c>
      <c r="E7" s="16" t="s">
        <v>11</v>
      </c>
      <c r="F7" s="6" t="s">
        <v>6</v>
      </c>
      <c r="G7" s="6" t="s">
        <v>7</v>
      </c>
      <c r="H7" s="6" t="s">
        <v>8</v>
      </c>
      <c r="I7" s="7" t="s">
        <v>0</v>
      </c>
    </row>
    <row r="8" spans="1:9" ht="21" customHeight="1">
      <c r="A8" s="27"/>
      <c r="B8" s="72" t="s">
        <v>15</v>
      </c>
      <c r="C8" s="72" t="s">
        <v>316</v>
      </c>
      <c r="D8" s="12">
        <v>83006884161</v>
      </c>
      <c r="E8" s="30" t="s">
        <v>16</v>
      </c>
      <c r="F8" s="8">
        <v>232.14</v>
      </c>
      <c r="G8" s="8">
        <v>6.34</v>
      </c>
      <c r="H8" s="8">
        <v>1.45</v>
      </c>
      <c r="I8" s="9">
        <f aca="true" t="shared" si="0" ref="I8:I58">SUM(F8:H8)</f>
        <v>239.92999999999998</v>
      </c>
    </row>
    <row r="9" spans="1:9" ht="21" customHeight="1">
      <c r="A9" s="27"/>
      <c r="B9" s="26" t="s">
        <v>17</v>
      </c>
      <c r="C9" s="26" t="s">
        <v>314</v>
      </c>
      <c r="D9" s="12">
        <v>83001699293</v>
      </c>
      <c r="E9" s="30" t="s">
        <v>19</v>
      </c>
      <c r="F9" s="8">
        <v>302.82</v>
      </c>
      <c r="G9" s="8">
        <v>8.92</v>
      </c>
      <c r="H9" s="8">
        <v>0.36</v>
      </c>
      <c r="I9" s="9">
        <f t="shared" si="0"/>
        <v>312.1</v>
      </c>
    </row>
    <row r="10" spans="1:9" ht="21" customHeight="1">
      <c r="A10" s="27"/>
      <c r="B10" s="26" t="s">
        <v>18</v>
      </c>
      <c r="C10" s="26" t="s">
        <v>324</v>
      </c>
      <c r="D10" s="12">
        <v>83002793469</v>
      </c>
      <c r="E10" s="30" t="s">
        <v>20</v>
      </c>
      <c r="F10" s="8">
        <v>1183.12</v>
      </c>
      <c r="G10" s="8">
        <v>34.32</v>
      </c>
      <c r="H10" s="8">
        <v>2.73</v>
      </c>
      <c r="I10" s="9">
        <f t="shared" si="0"/>
        <v>1220.1699999999998</v>
      </c>
    </row>
    <row r="11" spans="1:9" ht="21" customHeight="1">
      <c r="A11" s="27"/>
      <c r="B11" s="26" t="s">
        <v>21</v>
      </c>
      <c r="C11" s="26" t="s">
        <v>365</v>
      </c>
      <c r="D11" s="12">
        <v>83005319585</v>
      </c>
      <c r="E11" s="30" t="s">
        <v>22</v>
      </c>
      <c r="F11" s="8">
        <v>199.18</v>
      </c>
      <c r="G11" s="8">
        <v>5.39</v>
      </c>
      <c r="H11" s="8">
        <v>1.37</v>
      </c>
      <c r="I11" s="9">
        <f t="shared" si="0"/>
        <v>205.94</v>
      </c>
    </row>
    <row r="12" spans="1:9" ht="21" customHeight="1">
      <c r="A12" s="27"/>
      <c r="B12" s="26" t="s">
        <v>23</v>
      </c>
      <c r="C12" s="26" t="s">
        <v>325</v>
      </c>
      <c r="D12" s="61">
        <v>999395654431</v>
      </c>
      <c r="E12" s="30" t="s">
        <v>24</v>
      </c>
      <c r="F12" s="8">
        <v>1370.22</v>
      </c>
      <c r="G12" s="8">
        <v>39.94</v>
      </c>
      <c r="H12" s="8">
        <v>2.73</v>
      </c>
      <c r="I12" s="9">
        <f t="shared" si="0"/>
        <v>1412.89</v>
      </c>
    </row>
    <row r="13" spans="1:9" ht="21" customHeight="1">
      <c r="A13" s="27"/>
      <c r="B13" s="26" t="s">
        <v>25</v>
      </c>
      <c r="C13" s="26" t="s">
        <v>315</v>
      </c>
      <c r="D13" s="61">
        <v>999395655454</v>
      </c>
      <c r="E13" s="30" t="s">
        <v>26</v>
      </c>
      <c r="F13" s="8">
        <v>652.97</v>
      </c>
      <c r="G13" s="8">
        <v>18.42</v>
      </c>
      <c r="H13" s="8">
        <v>2.73</v>
      </c>
      <c r="I13" s="9">
        <f t="shared" si="0"/>
        <v>674.12</v>
      </c>
    </row>
    <row r="14" spans="1:9" ht="21" customHeight="1">
      <c r="A14" s="27"/>
      <c r="B14" s="26" t="s">
        <v>27</v>
      </c>
      <c r="C14" s="26" t="s">
        <v>326</v>
      </c>
      <c r="D14" s="61">
        <v>512012286</v>
      </c>
      <c r="E14" s="30" t="s">
        <v>28</v>
      </c>
      <c r="F14" s="8">
        <v>943.51</v>
      </c>
      <c r="G14" s="8">
        <v>27.14</v>
      </c>
      <c r="H14" s="8">
        <v>2.73</v>
      </c>
      <c r="I14" s="9">
        <f t="shared" si="0"/>
        <v>973.38</v>
      </c>
    </row>
    <row r="15" spans="1:9" ht="21" customHeight="1">
      <c r="A15" s="27"/>
      <c r="B15" s="26" t="s">
        <v>29</v>
      </c>
      <c r="C15" s="26" t="s">
        <v>327</v>
      </c>
      <c r="D15" s="61">
        <v>999395659634</v>
      </c>
      <c r="E15" s="30" t="s">
        <v>30</v>
      </c>
      <c r="F15" s="8">
        <v>881.48</v>
      </c>
      <c r="G15" s="8">
        <v>26.19</v>
      </c>
      <c r="H15" s="8">
        <v>0.59</v>
      </c>
      <c r="I15" s="9">
        <f t="shared" si="0"/>
        <v>908.2600000000001</v>
      </c>
    </row>
    <row r="16" spans="1:9" ht="21" customHeight="1">
      <c r="A16" s="27"/>
      <c r="B16" s="26" t="s">
        <v>31</v>
      </c>
      <c r="C16" s="26" t="s">
        <v>317</v>
      </c>
      <c r="D16" s="61">
        <v>999395660462</v>
      </c>
      <c r="E16" s="30" t="s">
        <v>32</v>
      </c>
      <c r="F16" s="8">
        <v>407.67</v>
      </c>
      <c r="G16" s="8">
        <v>11.65</v>
      </c>
      <c r="H16" s="8">
        <v>1.37</v>
      </c>
      <c r="I16" s="9">
        <f t="shared" si="0"/>
        <v>420.69</v>
      </c>
    </row>
    <row r="17" spans="1:9" ht="21" customHeight="1">
      <c r="A17" s="27"/>
      <c r="B17" s="26" t="s">
        <v>33</v>
      </c>
      <c r="C17" s="26" t="s">
        <v>366</v>
      </c>
      <c r="D17" s="61">
        <v>999395662284</v>
      </c>
      <c r="E17" s="30" t="s">
        <v>34</v>
      </c>
      <c r="F17" s="8">
        <v>1367.69</v>
      </c>
      <c r="G17" s="8">
        <v>40.45</v>
      </c>
      <c r="H17" s="8">
        <v>1.37</v>
      </c>
      <c r="I17" s="9">
        <f t="shared" si="0"/>
        <v>1409.51</v>
      </c>
    </row>
    <row r="18" spans="1:9" ht="21" customHeight="1">
      <c r="A18" s="27"/>
      <c r="B18" s="26" t="s">
        <v>35</v>
      </c>
      <c r="C18" s="26" t="s">
        <v>292</v>
      </c>
      <c r="D18" s="61">
        <v>999395662947</v>
      </c>
      <c r="E18" s="30" t="s">
        <v>36</v>
      </c>
      <c r="F18" s="8"/>
      <c r="G18" s="8"/>
      <c r="H18" s="8"/>
      <c r="I18" s="9">
        <f t="shared" si="0"/>
        <v>0</v>
      </c>
    </row>
    <row r="19" spans="1:9" ht="21" customHeight="1">
      <c r="A19" s="27"/>
      <c r="B19" s="26" t="s">
        <v>37</v>
      </c>
      <c r="C19" s="26" t="s">
        <v>369</v>
      </c>
      <c r="D19" s="61">
        <v>999395663410</v>
      </c>
      <c r="E19" s="30" t="s">
        <v>38</v>
      </c>
      <c r="F19" s="8">
        <v>509.62</v>
      </c>
      <c r="G19" s="8">
        <v>14.7</v>
      </c>
      <c r="H19" s="8">
        <v>1.37</v>
      </c>
      <c r="I19" s="9">
        <f t="shared" si="0"/>
        <v>525.69</v>
      </c>
    </row>
    <row r="20" spans="1:9" ht="21" customHeight="1">
      <c r="A20" s="27"/>
      <c r="B20" s="26" t="s">
        <v>39</v>
      </c>
      <c r="C20" s="26" t="s">
        <v>293</v>
      </c>
      <c r="D20" s="61">
        <v>999395665004</v>
      </c>
      <c r="E20" s="30" t="s">
        <v>40</v>
      </c>
      <c r="F20" s="8"/>
      <c r="G20" s="8"/>
      <c r="H20" s="8"/>
      <c r="I20" s="9">
        <f t="shared" si="0"/>
        <v>0</v>
      </c>
    </row>
    <row r="21" spans="1:9" ht="21" customHeight="1">
      <c r="A21" s="27"/>
      <c r="B21" s="26" t="s">
        <v>41</v>
      </c>
      <c r="C21" s="26" t="s">
        <v>367</v>
      </c>
      <c r="D21" s="61">
        <v>999395665500</v>
      </c>
      <c r="E21" s="30" t="s">
        <v>42</v>
      </c>
      <c r="F21" s="8">
        <v>529.48</v>
      </c>
      <c r="G21" s="8">
        <v>15.3</v>
      </c>
      <c r="H21" s="8">
        <v>1.37</v>
      </c>
      <c r="I21" s="9">
        <f t="shared" si="0"/>
        <v>546.15</v>
      </c>
    </row>
    <row r="22" spans="1:9" ht="21" customHeight="1">
      <c r="A22" s="27"/>
      <c r="B22" s="26" t="s">
        <v>43</v>
      </c>
      <c r="C22" s="93"/>
      <c r="D22" s="61">
        <v>999395674678</v>
      </c>
      <c r="E22" s="30" t="s">
        <v>44</v>
      </c>
      <c r="F22" s="8">
        <v>171.22</v>
      </c>
      <c r="G22" s="8">
        <v>4.55</v>
      </c>
      <c r="H22" s="8">
        <v>1.37</v>
      </c>
      <c r="I22" s="9">
        <f t="shared" si="0"/>
        <v>177.14000000000001</v>
      </c>
    </row>
    <row r="23" spans="1:9" ht="21" customHeight="1">
      <c r="A23" s="27"/>
      <c r="B23" s="26" t="s">
        <v>45</v>
      </c>
      <c r="C23" s="26" t="s">
        <v>307</v>
      </c>
      <c r="D23" s="61">
        <v>999395675751</v>
      </c>
      <c r="E23" s="30" t="s">
        <v>46</v>
      </c>
      <c r="F23" s="8">
        <v>414.62</v>
      </c>
      <c r="G23" s="8">
        <v>11.85</v>
      </c>
      <c r="H23" s="8">
        <v>1.37</v>
      </c>
      <c r="I23" s="9">
        <f t="shared" si="0"/>
        <v>427.84000000000003</v>
      </c>
    </row>
    <row r="24" spans="1:9" s="19" customFormat="1" ht="21" customHeight="1">
      <c r="A24" s="27"/>
      <c r="B24" s="26" t="s">
        <v>47</v>
      </c>
      <c r="C24" s="26" t="s">
        <v>318</v>
      </c>
      <c r="D24" s="61">
        <v>999395676257</v>
      </c>
      <c r="E24" s="30" t="s">
        <v>48</v>
      </c>
      <c r="F24" s="8">
        <v>231.34</v>
      </c>
      <c r="G24" s="8">
        <v>6.36</v>
      </c>
      <c r="H24" s="8">
        <v>1.37</v>
      </c>
      <c r="I24" s="9">
        <f t="shared" si="0"/>
        <v>239.07000000000002</v>
      </c>
    </row>
    <row r="25" spans="1:9" s="19" customFormat="1" ht="21" customHeight="1">
      <c r="A25" s="27"/>
      <c r="B25" s="26" t="s">
        <v>49</v>
      </c>
      <c r="C25" s="26" t="s">
        <v>328</v>
      </c>
      <c r="D25" s="61">
        <v>999395676905</v>
      </c>
      <c r="E25" s="30" t="s">
        <v>50</v>
      </c>
      <c r="F25" s="82">
        <v>136.63</v>
      </c>
      <c r="G25" s="82">
        <v>3.51</v>
      </c>
      <c r="H25" s="82">
        <v>1.37</v>
      </c>
      <c r="I25" s="83">
        <f t="shared" si="0"/>
        <v>141.51</v>
      </c>
    </row>
    <row r="26" spans="1:9" ht="21" customHeight="1">
      <c r="A26" s="27"/>
      <c r="B26" s="26" t="s">
        <v>51</v>
      </c>
      <c r="C26" s="93"/>
      <c r="D26" s="61">
        <v>999395677339</v>
      </c>
      <c r="E26" s="30" t="s">
        <v>52</v>
      </c>
      <c r="F26" s="8">
        <v>462.65</v>
      </c>
      <c r="G26" s="8">
        <v>13.26</v>
      </c>
      <c r="H26" s="8">
        <v>1.45</v>
      </c>
      <c r="I26" s="9">
        <f t="shared" si="0"/>
        <v>477.35999999999996</v>
      </c>
    </row>
    <row r="27" spans="1:9" ht="21" customHeight="1">
      <c r="A27" s="27"/>
      <c r="B27" s="26" t="s">
        <v>53</v>
      </c>
      <c r="C27" s="93"/>
      <c r="D27" s="61">
        <v>999395680029</v>
      </c>
      <c r="E27" s="30" t="s">
        <v>54</v>
      </c>
      <c r="F27" s="8">
        <v>327.08</v>
      </c>
      <c r="G27" s="8">
        <v>9.19</v>
      </c>
      <c r="H27" s="8">
        <v>1.45</v>
      </c>
      <c r="I27" s="9">
        <f t="shared" si="0"/>
        <v>337.71999999999997</v>
      </c>
    </row>
    <row r="28" spans="1:9" ht="21" customHeight="1">
      <c r="A28" s="27"/>
      <c r="B28" s="26" t="s">
        <v>55</v>
      </c>
      <c r="C28" s="26" t="s">
        <v>294</v>
      </c>
      <c r="D28" s="61">
        <v>999395682858</v>
      </c>
      <c r="E28" s="30" t="s">
        <v>56</v>
      </c>
      <c r="F28" s="8"/>
      <c r="G28" s="8"/>
      <c r="H28" s="8"/>
      <c r="I28" s="9">
        <f t="shared" si="0"/>
        <v>0</v>
      </c>
    </row>
    <row r="29" spans="1:9" ht="21" customHeight="1">
      <c r="A29" s="27"/>
      <c r="B29" s="26" t="s">
        <v>57</v>
      </c>
      <c r="C29" s="26" t="s">
        <v>295</v>
      </c>
      <c r="D29" s="12">
        <v>512095448</v>
      </c>
      <c r="E29" s="30" t="s">
        <v>58</v>
      </c>
      <c r="F29" s="8"/>
      <c r="G29" s="8"/>
      <c r="H29" s="8"/>
      <c r="I29" s="9">
        <f t="shared" si="0"/>
        <v>0</v>
      </c>
    </row>
    <row r="30" spans="1:9" ht="21" customHeight="1">
      <c r="A30" s="27"/>
      <c r="B30" s="26" t="s">
        <v>59</v>
      </c>
      <c r="C30" s="26" t="s">
        <v>296</v>
      </c>
      <c r="D30" s="61">
        <v>999395695033</v>
      </c>
      <c r="E30" s="30" t="s">
        <v>60</v>
      </c>
      <c r="F30" s="8">
        <v>440.175</v>
      </c>
      <c r="G30" s="8">
        <v>13.08</v>
      </c>
      <c r="H30" s="8">
        <v>0.295</v>
      </c>
      <c r="I30" s="9">
        <f t="shared" si="0"/>
        <v>453.55</v>
      </c>
    </row>
    <row r="31" spans="1:9" ht="21" customHeight="1">
      <c r="A31" s="27"/>
      <c r="B31" s="26" t="s">
        <v>61</v>
      </c>
      <c r="C31" s="26" t="s">
        <v>296</v>
      </c>
      <c r="D31" s="61">
        <v>999395696742</v>
      </c>
      <c r="E31" s="30" t="s">
        <v>62</v>
      </c>
      <c r="F31" s="8">
        <v>708.66</v>
      </c>
      <c r="G31" s="8">
        <v>21.135</v>
      </c>
      <c r="H31" s="8">
        <v>0.295</v>
      </c>
      <c r="I31" s="9">
        <f t="shared" si="0"/>
        <v>730.0899999999999</v>
      </c>
    </row>
    <row r="32" spans="1:9" ht="21" customHeight="1">
      <c r="A32" s="27"/>
      <c r="B32" s="26" t="s">
        <v>63</v>
      </c>
      <c r="C32" s="26" t="s">
        <v>308</v>
      </c>
      <c r="D32" s="61">
        <v>999395697615</v>
      </c>
      <c r="E32" s="30" t="s">
        <v>64</v>
      </c>
      <c r="F32" s="8">
        <f>945.05/2</f>
        <v>472.525</v>
      </c>
      <c r="G32" s="8">
        <f>27.99/2</f>
        <v>13.995</v>
      </c>
      <c r="H32" s="8">
        <f>0.84/2</f>
        <v>0.42</v>
      </c>
      <c r="I32" s="9">
        <f t="shared" si="0"/>
        <v>486.94</v>
      </c>
    </row>
    <row r="33" spans="1:9" ht="21" customHeight="1">
      <c r="A33" s="27"/>
      <c r="B33" s="26" t="s">
        <v>65</v>
      </c>
      <c r="C33" s="26" t="s">
        <v>297</v>
      </c>
      <c r="D33" s="61">
        <v>999395698321</v>
      </c>
      <c r="E33" s="30" t="s">
        <v>66</v>
      </c>
      <c r="F33" s="8">
        <f>762.72/2</f>
        <v>381.36</v>
      </c>
      <c r="G33" s="8">
        <f>22.52/2</f>
        <v>11.26</v>
      </c>
      <c r="H33" s="8">
        <f>0.84/2</f>
        <v>0.42</v>
      </c>
      <c r="I33" s="9">
        <f t="shared" si="0"/>
        <v>393.04</v>
      </c>
    </row>
    <row r="34" spans="1:9" ht="21" customHeight="1">
      <c r="A34" s="27"/>
      <c r="B34" s="26" t="s">
        <v>67</v>
      </c>
      <c r="C34" s="26" t="s">
        <v>309</v>
      </c>
      <c r="D34" s="62">
        <v>999395698661</v>
      </c>
      <c r="E34" s="31" t="s">
        <v>68</v>
      </c>
      <c r="F34" s="18">
        <f>418.78/2</f>
        <v>209.39</v>
      </c>
      <c r="G34" s="18">
        <f>12.22/2</f>
        <v>6.11</v>
      </c>
      <c r="H34" s="18">
        <f>0.8/2</f>
        <v>0.4</v>
      </c>
      <c r="I34" s="9">
        <f t="shared" si="0"/>
        <v>215.9</v>
      </c>
    </row>
    <row r="35" spans="1:9" ht="21" customHeight="1">
      <c r="A35" s="27"/>
      <c r="B35" s="26" t="s">
        <v>69</v>
      </c>
      <c r="C35" s="26"/>
      <c r="D35" s="61">
        <v>999395699042</v>
      </c>
      <c r="E35" s="30" t="s">
        <v>70</v>
      </c>
      <c r="F35" s="8">
        <f>875.65/2</f>
        <v>437.825</v>
      </c>
      <c r="G35" s="8">
        <f>25.92/2</f>
        <v>12.96</v>
      </c>
      <c r="H35" s="8">
        <f>0.83/2</f>
        <v>0.415</v>
      </c>
      <c r="I35" s="9">
        <f t="shared" si="0"/>
        <v>451.2</v>
      </c>
    </row>
    <row r="36" spans="1:13" s="20" customFormat="1" ht="21" customHeight="1">
      <c r="A36" s="27"/>
      <c r="B36" s="26" t="s">
        <v>71</v>
      </c>
      <c r="C36" s="93"/>
      <c r="D36" s="61">
        <v>999395699192</v>
      </c>
      <c r="E36" s="30" t="s">
        <v>72</v>
      </c>
      <c r="F36" s="18">
        <f>424.77/2</f>
        <v>212.385</v>
      </c>
      <c r="G36" s="18">
        <f>12.38/2</f>
        <v>6.19</v>
      </c>
      <c r="H36" s="18">
        <f>0.84/2</f>
        <v>0.42</v>
      </c>
      <c r="I36" s="87">
        <f t="shared" si="0"/>
        <v>218.99499999999998</v>
      </c>
      <c r="J36" s="19"/>
      <c r="K36" s="19"/>
      <c r="L36" s="19"/>
      <c r="M36" s="19"/>
    </row>
    <row r="37" spans="1:13" ht="21" customHeight="1">
      <c r="A37" s="27"/>
      <c r="B37" s="26" t="s">
        <v>73</v>
      </c>
      <c r="C37" s="93"/>
      <c r="D37" s="61">
        <v>999395699382</v>
      </c>
      <c r="E37" s="30" t="s">
        <v>74</v>
      </c>
      <c r="F37" s="8">
        <f>435.49/2</f>
        <v>217.745</v>
      </c>
      <c r="G37" s="8">
        <f>12.71/2</f>
        <v>6.355</v>
      </c>
      <c r="H37" s="8">
        <f>0.84/2</f>
        <v>0.42</v>
      </c>
      <c r="I37" s="9">
        <f t="shared" si="0"/>
        <v>224.51999999999998</v>
      </c>
      <c r="J37" s="19"/>
      <c r="K37" s="19"/>
      <c r="L37" s="19"/>
      <c r="M37" s="19"/>
    </row>
    <row r="38" spans="1:13" ht="21" customHeight="1">
      <c r="A38" s="27"/>
      <c r="B38" s="26" t="s">
        <v>75</v>
      </c>
      <c r="C38" s="26" t="s">
        <v>298</v>
      </c>
      <c r="D38" s="61">
        <v>999395699631</v>
      </c>
      <c r="E38" s="30" t="s">
        <v>76</v>
      </c>
      <c r="F38" s="8">
        <f>160.64/2</f>
        <v>80.32</v>
      </c>
      <c r="G38" s="8">
        <f>4.47/2</f>
        <v>2.235</v>
      </c>
      <c r="H38" s="8">
        <f>0.81/2</f>
        <v>0.405</v>
      </c>
      <c r="I38" s="9">
        <f t="shared" si="0"/>
        <v>82.96</v>
      </c>
      <c r="J38" s="19"/>
      <c r="K38" s="19"/>
      <c r="L38" s="19"/>
      <c r="M38" s="19"/>
    </row>
    <row r="39" spans="1:13" ht="21" customHeight="1">
      <c r="A39" s="27"/>
      <c r="B39" s="26" t="s">
        <v>77</v>
      </c>
      <c r="C39" s="93"/>
      <c r="D39" s="61">
        <v>999395699855</v>
      </c>
      <c r="E39" s="30" t="s">
        <v>78</v>
      </c>
      <c r="F39" s="8">
        <f>370.52/2</f>
        <v>185.26</v>
      </c>
      <c r="G39" s="8">
        <f>10.79/2</f>
        <v>5.395</v>
      </c>
      <c r="H39" s="8">
        <f>0.75/2</f>
        <v>0.375</v>
      </c>
      <c r="I39" s="9">
        <f t="shared" si="0"/>
        <v>191.03</v>
      </c>
      <c r="J39" s="19"/>
      <c r="K39" s="19"/>
      <c r="L39" s="19"/>
      <c r="M39" s="19"/>
    </row>
    <row r="40" spans="1:13" ht="21" customHeight="1">
      <c r="A40" s="27"/>
      <c r="B40" s="26" t="s">
        <v>79</v>
      </c>
      <c r="C40" s="26" t="s">
        <v>299</v>
      </c>
      <c r="D40" s="61">
        <v>999395699914</v>
      </c>
      <c r="E40" s="30" t="s">
        <v>80</v>
      </c>
      <c r="F40" s="8">
        <f>630.45/2</f>
        <v>315.225</v>
      </c>
      <c r="G40" s="8">
        <f>18.54/2</f>
        <v>9.27</v>
      </c>
      <c r="H40" s="8">
        <f>0.87/2</f>
        <v>0.435</v>
      </c>
      <c r="I40" s="9">
        <f t="shared" si="0"/>
        <v>324.93</v>
      </c>
      <c r="J40" s="19"/>
      <c r="K40" s="19"/>
      <c r="L40" s="19"/>
      <c r="M40" s="19"/>
    </row>
    <row r="41" spans="1:13" ht="21" customHeight="1">
      <c r="A41" s="27"/>
      <c r="B41" s="26" t="s">
        <v>81</v>
      </c>
      <c r="C41" s="26" t="s">
        <v>329</v>
      </c>
      <c r="D41" s="61">
        <v>999395720675</v>
      </c>
      <c r="E41" s="30" t="s">
        <v>82</v>
      </c>
      <c r="F41" s="8">
        <f>1009.23/2</f>
        <v>504.615</v>
      </c>
      <c r="G41" s="8">
        <f>29.93/2</f>
        <v>14.965</v>
      </c>
      <c r="H41" s="8">
        <f>0.8/2</f>
        <v>0.4</v>
      </c>
      <c r="I41" s="9">
        <f t="shared" si="0"/>
        <v>519.98</v>
      </c>
      <c r="J41" s="19"/>
      <c r="K41" s="19"/>
      <c r="L41" s="19"/>
      <c r="M41" s="19"/>
    </row>
    <row r="42" spans="1:13" ht="21" customHeight="1">
      <c r="A42" s="27"/>
      <c r="B42" s="26" t="s">
        <v>83</v>
      </c>
      <c r="C42" s="26" t="s">
        <v>300</v>
      </c>
      <c r="D42" s="61">
        <v>999395721493</v>
      </c>
      <c r="E42" s="30" t="s">
        <v>84</v>
      </c>
      <c r="F42" s="8">
        <f>834.57/2</f>
        <v>417.285</v>
      </c>
      <c r="G42" s="8">
        <f>24.69/2</f>
        <v>12.345</v>
      </c>
      <c r="H42" s="8">
        <f>0.8/2</f>
        <v>0.4</v>
      </c>
      <c r="I42" s="9">
        <f t="shared" si="0"/>
        <v>430.03000000000003</v>
      </c>
      <c r="J42" s="19"/>
      <c r="K42" s="19"/>
      <c r="L42" s="19"/>
      <c r="M42" s="19"/>
    </row>
    <row r="43" spans="1:13" ht="21" customHeight="1">
      <c r="A43" s="27"/>
      <c r="B43" s="26" t="s">
        <v>85</v>
      </c>
      <c r="C43" s="26"/>
      <c r="D43" s="61">
        <v>999395728957</v>
      </c>
      <c r="E43" s="30" t="s">
        <v>86</v>
      </c>
      <c r="F43" s="8">
        <v>112.51</v>
      </c>
      <c r="G43" s="8">
        <v>3.21</v>
      </c>
      <c r="H43" s="8">
        <v>0.38</v>
      </c>
      <c r="I43" s="9">
        <f t="shared" si="0"/>
        <v>116.1</v>
      </c>
      <c r="J43" s="19"/>
      <c r="K43" s="19"/>
      <c r="L43" s="19"/>
      <c r="M43" s="19"/>
    </row>
    <row r="44" spans="1:13" ht="21" customHeight="1">
      <c r="A44" s="27"/>
      <c r="B44" s="26" t="s">
        <v>87</v>
      </c>
      <c r="C44" s="26" t="s">
        <v>330</v>
      </c>
      <c r="D44" s="61">
        <v>999395729357</v>
      </c>
      <c r="E44" s="30" t="s">
        <v>88</v>
      </c>
      <c r="F44" s="8">
        <f>296.67/2</f>
        <v>148.335</v>
      </c>
      <c r="G44" s="8">
        <f>8.55/2</f>
        <v>4.275</v>
      </c>
      <c r="H44" s="8">
        <f>0.83/2</f>
        <v>0.415</v>
      </c>
      <c r="I44" s="9">
        <f t="shared" si="0"/>
        <v>153.025</v>
      </c>
      <c r="J44" s="19"/>
      <c r="K44" s="19"/>
      <c r="L44" s="19"/>
      <c r="M44" s="19"/>
    </row>
    <row r="45" spans="1:13" ht="21" customHeight="1">
      <c r="A45" s="27"/>
      <c r="B45" s="26" t="s">
        <v>89</v>
      </c>
      <c r="C45" s="93"/>
      <c r="D45" s="61">
        <v>999395729815</v>
      </c>
      <c r="E45" s="30" t="s">
        <v>90</v>
      </c>
      <c r="F45" s="8">
        <f>248.44/2</f>
        <v>124.22</v>
      </c>
      <c r="G45" s="8">
        <f>7.13/2</f>
        <v>3.565</v>
      </c>
      <c r="H45" s="8">
        <f>0.75/2</f>
        <v>0.375</v>
      </c>
      <c r="I45" s="9">
        <f t="shared" si="0"/>
        <v>128.16</v>
      </c>
      <c r="J45" s="19"/>
      <c r="K45" s="19"/>
      <c r="L45" s="19"/>
      <c r="M45" s="19"/>
    </row>
    <row r="46" spans="1:13" ht="21" customHeight="1">
      <c r="A46" s="27"/>
      <c r="B46" s="26" t="s">
        <v>94</v>
      </c>
      <c r="C46" s="26" t="s">
        <v>331</v>
      </c>
      <c r="D46" s="61">
        <v>999395730546</v>
      </c>
      <c r="E46" s="30" t="s">
        <v>91</v>
      </c>
      <c r="F46" s="8">
        <f>95.21/2</f>
        <v>47.605</v>
      </c>
      <c r="G46" s="8">
        <f>2.54/2</f>
        <v>1.27</v>
      </c>
      <c r="H46" s="8">
        <f>0.75/2</f>
        <v>0.375</v>
      </c>
      <c r="I46" s="9">
        <f t="shared" si="0"/>
        <v>49.25</v>
      </c>
      <c r="J46" s="19"/>
      <c r="K46" s="19"/>
      <c r="L46" s="19"/>
      <c r="M46" s="19"/>
    </row>
    <row r="47" spans="1:13" ht="21" customHeight="1">
      <c r="A47" s="27"/>
      <c r="B47" s="26" t="s">
        <v>92</v>
      </c>
      <c r="C47" s="26" t="s">
        <v>319</v>
      </c>
      <c r="D47" s="61">
        <v>999395731005</v>
      </c>
      <c r="E47" s="32" t="s">
        <v>93</v>
      </c>
      <c r="F47" s="8">
        <v>193.87</v>
      </c>
      <c r="G47" s="8">
        <v>5.65</v>
      </c>
      <c r="H47" s="8">
        <v>0.38</v>
      </c>
      <c r="I47" s="9">
        <f t="shared" si="0"/>
        <v>199.9</v>
      </c>
      <c r="J47" s="19"/>
      <c r="K47" s="19"/>
      <c r="L47" s="19"/>
      <c r="M47" s="19"/>
    </row>
    <row r="48" spans="1:13" ht="21" customHeight="1">
      <c r="A48" s="27"/>
      <c r="B48" s="26" t="s">
        <v>95</v>
      </c>
      <c r="C48" s="93"/>
      <c r="D48" s="61">
        <v>999395731797</v>
      </c>
      <c r="E48" s="30" t="s">
        <v>96</v>
      </c>
      <c r="F48" s="8">
        <f>128.1/2</f>
        <v>64.05</v>
      </c>
      <c r="G48" s="8">
        <f>3.48/2</f>
        <v>1.74</v>
      </c>
      <c r="H48" s="8">
        <f>0.84/2</f>
        <v>0.42</v>
      </c>
      <c r="I48" s="9">
        <f t="shared" si="0"/>
        <v>66.21</v>
      </c>
      <c r="J48" s="19"/>
      <c r="K48" s="19"/>
      <c r="L48" s="19"/>
      <c r="M48" s="19"/>
    </row>
    <row r="49" spans="1:13" ht="21" customHeight="1">
      <c r="A49" s="27"/>
      <c r="B49" s="26" t="s">
        <v>97</v>
      </c>
      <c r="C49" s="26"/>
      <c r="D49" s="61">
        <v>999395850272</v>
      </c>
      <c r="E49" s="30" t="s">
        <v>98</v>
      </c>
      <c r="F49" s="8">
        <v>753.75</v>
      </c>
      <c r="G49" s="8">
        <v>21.99</v>
      </c>
      <c r="H49" s="8">
        <v>1.45</v>
      </c>
      <c r="I49" s="9">
        <f t="shared" si="0"/>
        <v>777.19</v>
      </c>
      <c r="J49" s="19"/>
      <c r="K49" s="19"/>
      <c r="L49" s="19"/>
      <c r="M49" s="19"/>
    </row>
    <row r="50" spans="1:13" ht="21" customHeight="1">
      <c r="A50" s="27"/>
      <c r="B50" s="26" t="s">
        <v>99</v>
      </c>
      <c r="C50" s="93"/>
      <c r="D50" s="61">
        <v>999395869847</v>
      </c>
      <c r="E50" s="30" t="s">
        <v>100</v>
      </c>
      <c r="F50" s="8">
        <v>504.19</v>
      </c>
      <c r="G50" s="8">
        <v>14.86</v>
      </c>
      <c r="H50" s="8">
        <v>0.62</v>
      </c>
      <c r="I50" s="9">
        <f t="shared" si="0"/>
        <v>519.67</v>
      </c>
      <c r="J50" s="19"/>
      <c r="K50" s="19"/>
      <c r="L50" s="19"/>
      <c r="M50" s="19"/>
    </row>
    <row r="51" spans="1:13" ht="21" customHeight="1">
      <c r="A51" s="27"/>
      <c r="B51" s="26" t="s">
        <v>101</v>
      </c>
      <c r="C51" s="26" t="s">
        <v>371</v>
      </c>
      <c r="D51" s="12">
        <v>83007836944</v>
      </c>
      <c r="E51" s="30" t="s">
        <v>102</v>
      </c>
      <c r="F51" s="8"/>
      <c r="G51" s="8"/>
      <c r="H51" s="8"/>
      <c r="I51" s="9">
        <f t="shared" si="0"/>
        <v>0</v>
      </c>
      <c r="J51" s="19"/>
      <c r="K51" s="19"/>
      <c r="L51" s="19"/>
      <c r="M51" s="19"/>
    </row>
    <row r="52" spans="1:13" ht="21" customHeight="1">
      <c r="A52" s="27"/>
      <c r="B52" s="26" t="s">
        <v>103</v>
      </c>
      <c r="C52" s="26" t="s">
        <v>286</v>
      </c>
      <c r="D52" s="61">
        <v>999418107083</v>
      </c>
      <c r="E52" s="30" t="s">
        <v>104</v>
      </c>
      <c r="F52" s="8">
        <f>1594.61/2</f>
        <v>797.305</v>
      </c>
      <c r="G52" s="8">
        <f>47.51/2</f>
        <v>23.755</v>
      </c>
      <c r="H52" s="8">
        <f>0.76/2</f>
        <v>0.38</v>
      </c>
      <c r="I52" s="9">
        <f t="shared" si="0"/>
        <v>821.4399999999999</v>
      </c>
      <c r="J52" s="19"/>
      <c r="K52" s="19"/>
      <c r="L52" s="19"/>
      <c r="M52" s="19"/>
    </row>
    <row r="53" spans="1:13" ht="21" customHeight="1">
      <c r="A53" s="27"/>
      <c r="B53" s="26" t="s">
        <v>105</v>
      </c>
      <c r="C53" s="26" t="s">
        <v>332</v>
      </c>
      <c r="D53" s="61">
        <v>999418108530</v>
      </c>
      <c r="E53" s="30" t="s">
        <v>106</v>
      </c>
      <c r="F53" s="8">
        <v>336.78</v>
      </c>
      <c r="G53" s="8">
        <v>9.48</v>
      </c>
      <c r="H53" s="8">
        <v>1.45</v>
      </c>
      <c r="I53" s="9">
        <f t="shared" si="0"/>
        <v>347.71</v>
      </c>
      <c r="J53" s="19"/>
      <c r="K53" s="19"/>
      <c r="L53" s="19"/>
      <c r="M53" s="19"/>
    </row>
    <row r="54" spans="1:13" ht="21" customHeight="1">
      <c r="A54" s="27"/>
      <c r="B54" s="26" t="s">
        <v>107</v>
      </c>
      <c r="C54" s="26" t="s">
        <v>302</v>
      </c>
      <c r="D54" s="61">
        <v>999444028261</v>
      </c>
      <c r="E54" s="30" t="s">
        <v>108</v>
      </c>
      <c r="F54" s="8">
        <v>132.05</v>
      </c>
      <c r="G54" s="8">
        <v>3.34</v>
      </c>
      <c r="H54" s="8">
        <v>1.45</v>
      </c>
      <c r="I54" s="9">
        <f t="shared" si="0"/>
        <v>136.84</v>
      </c>
      <c r="J54" s="19"/>
      <c r="K54" s="19"/>
      <c r="L54" s="19"/>
      <c r="M54" s="19"/>
    </row>
    <row r="55" spans="1:13" ht="21" customHeight="1">
      <c r="A55" s="27"/>
      <c r="B55" s="26" t="s">
        <v>109</v>
      </c>
      <c r="C55" s="26" t="s">
        <v>313</v>
      </c>
      <c r="D55" s="12">
        <v>83000769293</v>
      </c>
      <c r="E55" s="30" t="s">
        <v>110</v>
      </c>
      <c r="F55" s="8">
        <v>314.04</v>
      </c>
      <c r="G55" s="8">
        <v>8.84</v>
      </c>
      <c r="H55" s="8">
        <v>1.37</v>
      </c>
      <c r="I55" s="9">
        <f t="shared" si="0"/>
        <v>324.25</v>
      </c>
      <c r="J55" s="19"/>
      <c r="K55" s="19"/>
      <c r="L55" s="19"/>
      <c r="M55" s="19"/>
    </row>
    <row r="56" spans="1:9" s="19" customFormat="1" ht="21" customHeight="1">
      <c r="A56" s="27"/>
      <c r="B56" s="35" t="s">
        <v>125</v>
      </c>
      <c r="C56" s="94"/>
      <c r="D56" s="36">
        <v>60006203645</v>
      </c>
      <c r="E56" s="37" t="s">
        <v>126</v>
      </c>
      <c r="F56" s="8">
        <v>23.44</v>
      </c>
      <c r="G56" s="8">
        <v>0.68</v>
      </c>
      <c r="H56" s="8">
        <v>0.06</v>
      </c>
      <c r="I56" s="9">
        <f t="shared" si="0"/>
        <v>24.18</v>
      </c>
    </row>
    <row r="57" spans="1:13" s="29" customFormat="1" ht="21" customHeight="1">
      <c r="A57" s="27"/>
      <c r="B57" s="26" t="s">
        <v>127</v>
      </c>
      <c r="C57" s="93"/>
      <c r="D57" s="12">
        <v>60007966411</v>
      </c>
      <c r="E57" s="30" t="s">
        <v>128</v>
      </c>
      <c r="F57" s="8">
        <v>74.56</v>
      </c>
      <c r="G57" s="8">
        <v>2.21</v>
      </c>
      <c r="H57" s="8">
        <v>0.06</v>
      </c>
      <c r="I57" s="9">
        <f t="shared" si="0"/>
        <v>76.83</v>
      </c>
      <c r="J57" s="19"/>
      <c r="K57" s="19"/>
      <c r="L57" s="19"/>
      <c r="M57" s="19"/>
    </row>
    <row r="58" spans="1:13" s="29" customFormat="1" ht="21" customHeight="1">
      <c r="A58" s="27"/>
      <c r="B58" s="26" t="s">
        <v>129</v>
      </c>
      <c r="C58" s="26" t="s">
        <v>289</v>
      </c>
      <c r="D58" s="12">
        <v>60006643135</v>
      </c>
      <c r="E58" s="30" t="s">
        <v>130</v>
      </c>
      <c r="F58" s="8">
        <f>101.26/2</f>
        <v>50.63</v>
      </c>
      <c r="G58" s="8">
        <f>3/2</f>
        <v>1.5</v>
      </c>
      <c r="H58" s="8">
        <f>0.08/2</f>
        <v>0.04</v>
      </c>
      <c r="I58" s="9">
        <f t="shared" si="0"/>
        <v>52.17</v>
      </c>
      <c r="J58" s="19"/>
      <c r="K58" s="19"/>
      <c r="L58" s="19"/>
      <c r="M58" s="19"/>
    </row>
    <row r="59" spans="1:13" ht="21" customHeight="1">
      <c r="A59" s="27"/>
      <c r="B59" s="26" t="s">
        <v>131</v>
      </c>
      <c r="C59" s="93"/>
      <c r="D59" s="12">
        <v>60007843244</v>
      </c>
      <c r="E59" s="30" t="s">
        <v>132</v>
      </c>
      <c r="F59" s="8">
        <f>108.29/2</f>
        <v>54.145</v>
      </c>
      <c r="G59" s="8">
        <f>3.22/2</f>
        <v>1.61</v>
      </c>
      <c r="H59" s="8">
        <f>0.08/2</f>
        <v>0.04</v>
      </c>
      <c r="I59" s="9">
        <f aca="true" t="shared" si="1" ref="I59:I119">SUM(F59:H59)</f>
        <v>55.795</v>
      </c>
      <c r="J59" s="19"/>
      <c r="K59" s="19"/>
      <c r="L59" s="19"/>
      <c r="M59" s="19"/>
    </row>
    <row r="60" spans="1:13" ht="21" customHeight="1">
      <c r="A60" s="27"/>
      <c r="B60" s="26" t="s">
        <v>133</v>
      </c>
      <c r="C60" s="26" t="s">
        <v>322</v>
      </c>
      <c r="D60" s="12">
        <v>60007843069</v>
      </c>
      <c r="E60" s="30" t="s">
        <v>134</v>
      </c>
      <c r="F60" s="8">
        <f>142.16/2</f>
        <v>71.08</v>
      </c>
      <c r="G60" s="8">
        <f>4.17/2</f>
        <v>2.085</v>
      </c>
      <c r="H60" s="8">
        <f>0.22/2</f>
        <v>0.11</v>
      </c>
      <c r="I60" s="9">
        <f t="shared" si="1"/>
        <v>73.27499999999999</v>
      </c>
      <c r="J60" s="19"/>
      <c r="K60" s="19"/>
      <c r="L60" s="19"/>
      <c r="M60" s="19"/>
    </row>
    <row r="61" spans="1:13" ht="21" customHeight="1">
      <c r="A61" s="27"/>
      <c r="B61" s="26" t="s">
        <v>135</v>
      </c>
      <c r="C61" s="26" t="s">
        <v>353</v>
      </c>
      <c r="D61" s="12">
        <v>60007843073</v>
      </c>
      <c r="E61" s="30" t="s">
        <v>136</v>
      </c>
      <c r="F61" s="8">
        <f>114.33/2</f>
        <v>57.165</v>
      </c>
      <c r="G61" s="8">
        <f>3.4/2</f>
        <v>1.7</v>
      </c>
      <c r="H61" s="8">
        <f>0.08/2</f>
        <v>0.04</v>
      </c>
      <c r="I61" s="9">
        <f t="shared" si="1"/>
        <v>58.905</v>
      </c>
      <c r="J61" s="19"/>
      <c r="K61" s="19"/>
      <c r="L61" s="19"/>
      <c r="M61" s="19"/>
    </row>
    <row r="62" spans="1:13" ht="21" customHeight="1">
      <c r="A62" s="27"/>
      <c r="B62" s="26" t="s">
        <v>137</v>
      </c>
      <c r="C62" s="93"/>
      <c r="D62" s="12">
        <v>60007843356</v>
      </c>
      <c r="E62" s="30" t="s">
        <v>138</v>
      </c>
      <c r="F62" s="8">
        <f>40.56/2</f>
        <v>20.28</v>
      </c>
      <c r="G62" s="8">
        <f>1.18/2</f>
        <v>0.59</v>
      </c>
      <c r="H62" s="8">
        <f>0.07/2</f>
        <v>0.035</v>
      </c>
      <c r="I62" s="9">
        <f t="shared" si="1"/>
        <v>20.905</v>
      </c>
      <c r="J62" s="19"/>
      <c r="K62" s="19"/>
      <c r="L62" s="19"/>
      <c r="M62" s="19"/>
    </row>
    <row r="63" spans="1:13" ht="21" customHeight="1">
      <c r="A63" s="27"/>
      <c r="B63" s="26" t="s">
        <v>139</v>
      </c>
      <c r="C63" s="93"/>
      <c r="D63" s="12">
        <v>60007847274</v>
      </c>
      <c r="E63" s="30" t="s">
        <v>140</v>
      </c>
      <c r="F63" s="8">
        <f>69.33/2</f>
        <v>34.665</v>
      </c>
      <c r="G63" s="8">
        <f>1.98/2</f>
        <v>0.99</v>
      </c>
      <c r="H63" s="8">
        <f>0.23/2</f>
        <v>0.115</v>
      </c>
      <c r="I63" s="9">
        <f t="shared" si="1"/>
        <v>35.77</v>
      </c>
      <c r="J63" s="19"/>
      <c r="K63" s="19"/>
      <c r="L63" s="19"/>
      <c r="M63" s="19"/>
    </row>
    <row r="64" spans="1:13" ht="21" customHeight="1">
      <c r="A64" s="27"/>
      <c r="B64" s="26" t="s">
        <v>141</v>
      </c>
      <c r="C64" s="93"/>
      <c r="D64" s="12">
        <v>60007847482</v>
      </c>
      <c r="E64" s="30" t="s">
        <v>142</v>
      </c>
      <c r="F64" s="8">
        <v>44.91</v>
      </c>
      <c r="G64" s="8">
        <v>1.32</v>
      </c>
      <c r="H64" s="8">
        <v>0.06</v>
      </c>
      <c r="I64" s="9">
        <f t="shared" si="1"/>
        <v>46.29</v>
      </c>
      <c r="J64" s="19"/>
      <c r="K64" s="19"/>
      <c r="L64" s="19"/>
      <c r="M64" s="19"/>
    </row>
    <row r="65" spans="1:13" ht="21" customHeight="1">
      <c r="A65" s="27"/>
      <c r="B65" s="26" t="s">
        <v>143</v>
      </c>
      <c r="C65" s="26" t="s">
        <v>323</v>
      </c>
      <c r="D65" s="12">
        <v>60007858040</v>
      </c>
      <c r="E65" s="78" t="s">
        <v>144</v>
      </c>
      <c r="F65" s="8">
        <v>24.39</v>
      </c>
      <c r="G65" s="8">
        <v>0.69</v>
      </c>
      <c r="H65" s="8">
        <v>0.1</v>
      </c>
      <c r="I65" s="9">
        <f t="shared" si="1"/>
        <v>25.180000000000003</v>
      </c>
      <c r="J65" s="19"/>
      <c r="K65" s="19"/>
      <c r="L65" s="19"/>
      <c r="M65" s="19"/>
    </row>
    <row r="66" spans="1:13" ht="21" customHeight="1">
      <c r="A66" s="27"/>
      <c r="B66" s="43" t="s">
        <v>145</v>
      </c>
      <c r="C66" s="43" t="s">
        <v>358</v>
      </c>
      <c r="D66" s="44">
        <v>60007889355</v>
      </c>
      <c r="E66" s="37" t="s">
        <v>146</v>
      </c>
      <c r="F66" s="18">
        <f>63.54/2</f>
        <v>31.77</v>
      </c>
      <c r="G66" s="18">
        <f>1.87/2</f>
        <v>0.935</v>
      </c>
      <c r="H66" s="18">
        <f>0.08/2</f>
        <v>0.04</v>
      </c>
      <c r="I66" s="9">
        <f t="shared" si="1"/>
        <v>32.745</v>
      </c>
      <c r="J66" s="19"/>
      <c r="K66" s="19"/>
      <c r="L66" s="19"/>
      <c r="M66" s="19"/>
    </row>
    <row r="67" spans="1:13" ht="21" customHeight="1">
      <c r="A67" s="39"/>
      <c r="B67" s="41" t="s">
        <v>147</v>
      </c>
      <c r="C67" s="41" t="s">
        <v>311</v>
      </c>
      <c r="D67" s="40">
        <v>60007899611</v>
      </c>
      <c r="E67" s="42" t="s">
        <v>148</v>
      </c>
      <c r="F67" s="18">
        <v>98.39</v>
      </c>
      <c r="G67" s="18">
        <v>2.91</v>
      </c>
      <c r="H67" s="18">
        <v>0.1</v>
      </c>
      <c r="I67" s="9">
        <f t="shared" si="1"/>
        <v>101.39999999999999</v>
      </c>
      <c r="J67" s="19"/>
      <c r="K67" s="19"/>
      <c r="L67" s="19"/>
      <c r="M67" s="19"/>
    </row>
    <row r="68" spans="1:13" s="29" customFormat="1" ht="21" customHeight="1">
      <c r="A68" s="27"/>
      <c r="B68" s="26" t="s">
        <v>149</v>
      </c>
      <c r="C68" s="93"/>
      <c r="D68" s="12">
        <v>60008073286</v>
      </c>
      <c r="E68" s="30" t="s">
        <v>150</v>
      </c>
      <c r="F68" s="8">
        <f>19.17/2</f>
        <v>9.585</v>
      </c>
      <c r="G68" s="8">
        <f>0.48/2</f>
        <v>0.24</v>
      </c>
      <c r="H68" s="8">
        <f>0.23/2</f>
        <v>0.115</v>
      </c>
      <c r="I68" s="9">
        <f t="shared" si="1"/>
        <v>9.940000000000001</v>
      </c>
      <c r="J68" s="19"/>
      <c r="K68" s="19"/>
      <c r="L68" s="19"/>
      <c r="M68" s="19"/>
    </row>
    <row r="69" spans="1:13" s="20" customFormat="1" ht="21" customHeight="1">
      <c r="A69" s="27"/>
      <c r="B69" s="26" t="s">
        <v>151</v>
      </c>
      <c r="C69" s="26"/>
      <c r="D69" s="12">
        <v>60008101006</v>
      </c>
      <c r="E69" s="30" t="s">
        <v>152</v>
      </c>
      <c r="F69" s="8">
        <f>63.75/2</f>
        <v>31.875</v>
      </c>
      <c r="G69" s="8">
        <f>1.83/2</f>
        <v>0.915</v>
      </c>
      <c r="H69" s="8">
        <f>0.2/2</f>
        <v>0.1</v>
      </c>
      <c r="I69" s="9">
        <f t="shared" si="1"/>
        <v>32.89</v>
      </c>
      <c r="J69" s="19"/>
      <c r="K69" s="19"/>
      <c r="L69" s="19"/>
      <c r="M69" s="19"/>
    </row>
    <row r="70" spans="1:13" s="20" customFormat="1" ht="21" customHeight="1">
      <c r="A70" s="27"/>
      <c r="B70" s="26" t="s">
        <v>153</v>
      </c>
      <c r="C70" s="26" t="s">
        <v>359</v>
      </c>
      <c r="D70" s="12">
        <v>60008115357</v>
      </c>
      <c r="E70" s="30" t="s">
        <v>154</v>
      </c>
      <c r="F70" s="8">
        <v>63.56</v>
      </c>
      <c r="G70" s="8">
        <v>1.88</v>
      </c>
      <c r="H70" s="8">
        <v>0.06</v>
      </c>
      <c r="I70" s="9">
        <f t="shared" si="1"/>
        <v>65.5</v>
      </c>
      <c r="J70" s="19"/>
      <c r="K70" s="19"/>
      <c r="L70" s="19"/>
      <c r="M70" s="19"/>
    </row>
    <row r="71" spans="1:13" s="20" customFormat="1" ht="21" customHeight="1">
      <c r="A71" s="27"/>
      <c r="B71" s="26" t="s">
        <v>155</v>
      </c>
      <c r="C71" s="26" t="s">
        <v>312</v>
      </c>
      <c r="D71" s="12">
        <v>60008450632</v>
      </c>
      <c r="E71" s="30" t="s">
        <v>156</v>
      </c>
      <c r="F71" s="8">
        <v>24.74</v>
      </c>
      <c r="G71" s="8">
        <v>0.72</v>
      </c>
      <c r="H71" s="8">
        <v>0.04</v>
      </c>
      <c r="I71" s="9">
        <f t="shared" si="1"/>
        <v>25.499999999999996</v>
      </c>
      <c r="J71" s="19"/>
      <c r="K71" s="19"/>
      <c r="L71" s="19"/>
      <c r="M71" s="19"/>
    </row>
    <row r="72" spans="1:13" ht="21" customHeight="1">
      <c r="A72" s="27"/>
      <c r="B72" s="26" t="s">
        <v>157</v>
      </c>
      <c r="C72" s="26" t="s">
        <v>360</v>
      </c>
      <c r="D72" s="12">
        <v>60008427213</v>
      </c>
      <c r="E72" s="30" t="s">
        <v>158</v>
      </c>
      <c r="F72" s="8">
        <f>54.33/2</f>
        <v>27.165</v>
      </c>
      <c r="G72" s="8">
        <f>1.6/2</f>
        <v>0.8</v>
      </c>
      <c r="H72" s="8">
        <f>0.08/2</f>
        <v>0.04</v>
      </c>
      <c r="I72" s="9">
        <f t="shared" si="1"/>
        <v>28.005</v>
      </c>
      <c r="J72" s="19"/>
      <c r="K72" s="19"/>
      <c r="L72" s="19"/>
      <c r="M72" s="19"/>
    </row>
    <row r="73" spans="1:13" ht="21" customHeight="1">
      <c r="A73" s="27"/>
      <c r="B73" s="26" t="s">
        <v>159</v>
      </c>
      <c r="C73" s="26" t="s">
        <v>361</v>
      </c>
      <c r="D73" s="12">
        <v>60008475541</v>
      </c>
      <c r="E73" s="30" t="s">
        <v>160</v>
      </c>
      <c r="F73" s="8">
        <f>168.79/2</f>
        <v>84.395</v>
      </c>
      <c r="G73" s="8">
        <f>5.03/2</f>
        <v>2.515</v>
      </c>
      <c r="H73" s="8">
        <f>0.08/2</f>
        <v>0.04</v>
      </c>
      <c r="I73" s="9">
        <f t="shared" si="1"/>
        <v>86.95</v>
      </c>
      <c r="J73" s="19"/>
      <c r="K73" s="19"/>
      <c r="L73" s="19"/>
      <c r="M73" s="19"/>
    </row>
    <row r="74" spans="1:13" ht="21" customHeight="1">
      <c r="A74" s="27"/>
      <c r="B74" s="26" t="s">
        <v>161</v>
      </c>
      <c r="C74" s="93"/>
      <c r="D74" s="12">
        <v>60008368817</v>
      </c>
      <c r="E74" s="30" t="s">
        <v>162</v>
      </c>
      <c r="F74" s="8">
        <v>32.79</v>
      </c>
      <c r="G74" s="8">
        <v>0.96</v>
      </c>
      <c r="H74" s="8">
        <v>0.06</v>
      </c>
      <c r="I74" s="9">
        <f t="shared" si="1"/>
        <v>33.81</v>
      </c>
      <c r="J74" s="19"/>
      <c r="K74" s="19"/>
      <c r="L74" s="19"/>
      <c r="M74" s="19"/>
    </row>
    <row r="75" spans="1:13" ht="21" customHeight="1">
      <c r="A75" s="27"/>
      <c r="B75" s="26" t="s">
        <v>163</v>
      </c>
      <c r="C75" s="26" t="s">
        <v>372</v>
      </c>
      <c r="D75" s="12">
        <v>60091069643</v>
      </c>
      <c r="E75" s="30" t="s">
        <v>164</v>
      </c>
      <c r="F75" s="8"/>
      <c r="G75" s="8"/>
      <c r="H75" s="8"/>
      <c r="I75" s="9">
        <f t="shared" si="1"/>
        <v>0</v>
      </c>
      <c r="J75" s="19"/>
      <c r="K75" s="19"/>
      <c r="L75" s="19"/>
      <c r="M75" s="19"/>
    </row>
    <row r="76" spans="1:13" ht="21" customHeight="1">
      <c r="A76" s="27"/>
      <c r="B76" s="26" t="s">
        <v>165</v>
      </c>
      <c r="C76" s="26" t="s">
        <v>363</v>
      </c>
      <c r="D76" s="12">
        <v>60089709450</v>
      </c>
      <c r="E76" s="30" t="s">
        <v>166</v>
      </c>
      <c r="F76" s="8">
        <f>62.88/2</f>
        <v>31.44</v>
      </c>
      <c r="G76" s="8">
        <f>1.85/2</f>
        <v>0.925</v>
      </c>
      <c r="H76" s="8">
        <f>0.07/2</f>
        <v>0.035</v>
      </c>
      <c r="I76" s="9">
        <f t="shared" si="1"/>
        <v>32.4</v>
      </c>
      <c r="J76" s="19"/>
      <c r="K76" s="19"/>
      <c r="L76" s="19"/>
      <c r="M76" s="19"/>
    </row>
    <row r="77" spans="1:13" ht="21" customHeight="1">
      <c r="A77" s="27"/>
      <c r="B77" s="26" t="s">
        <v>167</v>
      </c>
      <c r="C77" s="26" t="s">
        <v>362</v>
      </c>
      <c r="D77" s="12">
        <v>60089553056</v>
      </c>
      <c r="E77" s="30" t="s">
        <v>168</v>
      </c>
      <c r="F77" s="8">
        <f>545.98/2</f>
        <v>272.99</v>
      </c>
      <c r="G77" s="8">
        <f>16.28/2</f>
        <v>8.14</v>
      </c>
      <c r="H77" s="8">
        <f>0.22/2</f>
        <v>0.11</v>
      </c>
      <c r="I77" s="9">
        <f t="shared" si="1"/>
        <v>281.24</v>
      </c>
      <c r="J77" s="19"/>
      <c r="K77" s="19"/>
      <c r="L77" s="19"/>
      <c r="M77" s="19"/>
    </row>
    <row r="78" spans="1:13" ht="21" customHeight="1">
      <c r="A78" s="27"/>
      <c r="B78" s="26" t="s">
        <v>169</v>
      </c>
      <c r="C78" s="26" t="s">
        <v>364</v>
      </c>
      <c r="D78" s="17">
        <v>60090692774</v>
      </c>
      <c r="E78" s="31" t="s">
        <v>170</v>
      </c>
      <c r="F78" s="18">
        <v>23.12</v>
      </c>
      <c r="G78" s="18">
        <v>0.67</v>
      </c>
      <c r="H78" s="18">
        <v>0.06</v>
      </c>
      <c r="I78" s="9">
        <f t="shared" si="1"/>
        <v>23.85</v>
      </c>
      <c r="J78" s="19"/>
      <c r="K78" s="19"/>
      <c r="L78" s="19"/>
      <c r="M78" s="19"/>
    </row>
    <row r="79" spans="1:13" ht="21" customHeight="1">
      <c r="A79" s="27"/>
      <c r="B79" s="26" t="s">
        <v>171</v>
      </c>
      <c r="C79" s="93"/>
      <c r="D79" s="12">
        <v>60006579681</v>
      </c>
      <c r="E79" s="30" t="s">
        <v>172</v>
      </c>
      <c r="F79" s="8">
        <v>22.02</v>
      </c>
      <c r="G79" s="8">
        <v>0.64</v>
      </c>
      <c r="H79" s="8">
        <v>0.06</v>
      </c>
      <c r="I79" s="9">
        <f t="shared" si="1"/>
        <v>22.72</v>
      </c>
      <c r="J79" s="19"/>
      <c r="K79" s="19"/>
      <c r="L79" s="19"/>
      <c r="M79" s="19"/>
    </row>
    <row r="80" spans="1:13" ht="21" customHeight="1">
      <c r="A80" s="27"/>
      <c r="B80" s="26" t="s">
        <v>173</v>
      </c>
      <c r="C80" s="26" t="s">
        <v>333</v>
      </c>
      <c r="D80" s="12">
        <v>60006586696</v>
      </c>
      <c r="E80" s="30" t="s">
        <v>174</v>
      </c>
      <c r="F80" s="8">
        <f>204.5/2</f>
        <v>102.25</v>
      </c>
      <c r="G80" s="8">
        <f>6.04/2</f>
        <v>3.02</v>
      </c>
      <c r="H80" s="8">
        <f>0.22/2</f>
        <v>0.11</v>
      </c>
      <c r="I80" s="9">
        <f t="shared" si="1"/>
        <v>105.38</v>
      </c>
      <c r="J80" s="19"/>
      <c r="K80" s="19"/>
      <c r="L80" s="19"/>
      <c r="M80" s="19"/>
    </row>
    <row r="81" spans="1:13" s="20" customFormat="1" ht="21" customHeight="1">
      <c r="A81" s="27"/>
      <c r="B81" s="26" t="s">
        <v>175</v>
      </c>
      <c r="C81" s="93"/>
      <c r="D81" s="17">
        <v>60006586704</v>
      </c>
      <c r="E81" s="31" t="s">
        <v>176</v>
      </c>
      <c r="F81" s="18">
        <f>29.16/2</f>
        <v>14.58</v>
      </c>
      <c r="G81" s="18">
        <f>0.84/2</f>
        <v>0.42</v>
      </c>
      <c r="H81" s="18">
        <f>0.08/2</f>
        <v>0.04</v>
      </c>
      <c r="I81" s="9">
        <f t="shared" si="1"/>
        <v>15.04</v>
      </c>
      <c r="J81" s="19"/>
      <c r="K81" s="19"/>
      <c r="L81" s="19"/>
      <c r="M81" s="19"/>
    </row>
    <row r="82" spans="1:13" s="20" customFormat="1" ht="21" customHeight="1">
      <c r="A82" s="27"/>
      <c r="B82" s="26" t="s">
        <v>177</v>
      </c>
      <c r="C82" s="26" t="s">
        <v>370</v>
      </c>
      <c r="D82" s="12">
        <v>60006587652</v>
      </c>
      <c r="E82" s="33" t="s">
        <v>178</v>
      </c>
      <c r="F82" s="15">
        <f>187.52/2</f>
        <v>93.76</v>
      </c>
      <c r="G82" s="15">
        <f>5.53/2</f>
        <v>2.765</v>
      </c>
      <c r="H82" s="15">
        <f>0.22/2</f>
        <v>0.11</v>
      </c>
      <c r="I82" s="9">
        <f t="shared" si="1"/>
        <v>96.635</v>
      </c>
      <c r="J82" s="19"/>
      <c r="K82" s="19"/>
      <c r="L82" s="19"/>
      <c r="M82" s="19"/>
    </row>
    <row r="83" spans="1:13" ht="21" customHeight="1">
      <c r="A83" s="27"/>
      <c r="B83" s="26" t="s">
        <v>179</v>
      </c>
      <c r="C83" s="26" t="s">
        <v>334</v>
      </c>
      <c r="D83" s="12">
        <v>60006587671</v>
      </c>
      <c r="E83" s="30" t="s">
        <v>180</v>
      </c>
      <c r="F83" s="8">
        <f>157.27/2</f>
        <v>78.635</v>
      </c>
      <c r="G83" s="8">
        <f>4.62/2</f>
        <v>2.31</v>
      </c>
      <c r="H83" s="8">
        <f>0.22/2</f>
        <v>0.11</v>
      </c>
      <c r="I83" s="9">
        <f t="shared" si="1"/>
        <v>81.055</v>
      </c>
      <c r="J83" s="19"/>
      <c r="K83" s="19"/>
      <c r="L83" s="19"/>
      <c r="M83" s="19"/>
    </row>
    <row r="84" spans="1:13" ht="21" customHeight="1">
      <c r="A84" s="27"/>
      <c r="B84" s="26" t="s">
        <v>181</v>
      </c>
      <c r="C84" s="26" t="s">
        <v>335</v>
      </c>
      <c r="D84" s="12">
        <v>60006593566</v>
      </c>
      <c r="E84" s="30" t="s">
        <v>182</v>
      </c>
      <c r="F84" s="8">
        <f>118.47/2</f>
        <v>59.235</v>
      </c>
      <c r="G84" s="8">
        <f>3.52/2</f>
        <v>1.76</v>
      </c>
      <c r="H84" s="8">
        <f>0.08/2</f>
        <v>0.04</v>
      </c>
      <c r="I84" s="9">
        <f t="shared" si="1"/>
        <v>61.035</v>
      </c>
      <c r="J84" s="19"/>
      <c r="K84" s="19"/>
      <c r="L84" s="19"/>
      <c r="M84" s="19"/>
    </row>
    <row r="85" spans="1:13" ht="21" customHeight="1">
      <c r="A85" s="27"/>
      <c r="B85" s="26" t="s">
        <v>183</v>
      </c>
      <c r="C85" s="26" t="s">
        <v>336</v>
      </c>
      <c r="D85" s="12">
        <v>60006601563</v>
      </c>
      <c r="E85" s="30" t="s">
        <v>184</v>
      </c>
      <c r="F85" s="8">
        <f>113.21/2</f>
        <v>56.605</v>
      </c>
      <c r="G85" s="8">
        <f>3.4/2</f>
        <v>1.7</v>
      </c>
      <c r="H85" s="8">
        <v>0</v>
      </c>
      <c r="I85" s="9">
        <f t="shared" si="1"/>
        <v>58.305</v>
      </c>
      <c r="J85" s="19"/>
      <c r="K85" s="19"/>
      <c r="L85" s="19"/>
      <c r="M85" s="19"/>
    </row>
    <row r="86" spans="1:13" s="20" customFormat="1" ht="21" customHeight="1">
      <c r="A86" s="27"/>
      <c r="B86" s="26" t="s">
        <v>185</v>
      </c>
      <c r="C86" s="26" t="s">
        <v>310</v>
      </c>
      <c r="D86" s="12">
        <v>60006630551</v>
      </c>
      <c r="E86" s="30" t="s">
        <v>186</v>
      </c>
      <c r="F86" s="8">
        <f>206.58/2</f>
        <v>103.29</v>
      </c>
      <c r="G86" s="8">
        <f>6.1/2</f>
        <v>3.05</v>
      </c>
      <c r="H86" s="8">
        <f>0.22/2</f>
        <v>0.11</v>
      </c>
      <c r="I86" s="9">
        <f t="shared" si="1"/>
        <v>106.45</v>
      </c>
      <c r="J86" s="19"/>
      <c r="K86" s="19"/>
      <c r="L86" s="19"/>
      <c r="M86" s="19"/>
    </row>
    <row r="87" spans="1:13" s="29" customFormat="1" ht="21" customHeight="1">
      <c r="A87" s="27"/>
      <c r="B87" s="26" t="s">
        <v>187</v>
      </c>
      <c r="C87" s="26" t="s">
        <v>287</v>
      </c>
      <c r="D87" s="12">
        <v>60006631759</v>
      </c>
      <c r="E87" s="30" t="s">
        <v>188</v>
      </c>
      <c r="F87" s="8">
        <f>103.35/2</f>
        <v>51.675</v>
      </c>
      <c r="G87" s="8">
        <f>3.07/2</f>
        <v>1.535</v>
      </c>
      <c r="H87" s="8">
        <f>0.08/2</f>
        <v>0.04</v>
      </c>
      <c r="I87" s="9">
        <f t="shared" si="1"/>
        <v>53.24999999999999</v>
      </c>
      <c r="J87" s="19"/>
      <c r="K87" s="19"/>
      <c r="L87" s="19"/>
      <c r="M87" s="19"/>
    </row>
    <row r="88" spans="1:13" s="29" customFormat="1" ht="21" customHeight="1">
      <c r="A88" s="27"/>
      <c r="B88" s="26" t="s">
        <v>189</v>
      </c>
      <c r="C88" s="26" t="s">
        <v>339</v>
      </c>
      <c r="D88" s="12">
        <v>60006631974</v>
      </c>
      <c r="E88" s="30" t="s">
        <v>190</v>
      </c>
      <c r="F88" s="8">
        <v>190.39</v>
      </c>
      <c r="G88" s="8">
        <v>5.7</v>
      </c>
      <c r="H88" s="8">
        <v>0.03</v>
      </c>
      <c r="I88" s="9">
        <f t="shared" si="1"/>
        <v>196.11999999999998</v>
      </c>
      <c r="J88" s="19"/>
      <c r="K88" s="19"/>
      <c r="L88" s="19"/>
      <c r="M88" s="19"/>
    </row>
    <row r="89" spans="1:9" ht="21" customHeight="1">
      <c r="A89" s="27"/>
      <c r="B89" s="26" t="s">
        <v>191</v>
      </c>
      <c r="C89" s="26" t="s">
        <v>356</v>
      </c>
      <c r="D89" s="12">
        <v>60007843337</v>
      </c>
      <c r="E89" s="30" t="s">
        <v>192</v>
      </c>
      <c r="F89" s="8">
        <f>192.95/2</f>
        <v>96.475</v>
      </c>
      <c r="G89" s="8">
        <f>5.75/2</f>
        <v>2.875</v>
      </c>
      <c r="H89" s="8">
        <f>0.08/2</f>
        <v>0.04</v>
      </c>
      <c r="I89" s="9">
        <f t="shared" si="1"/>
        <v>99.39</v>
      </c>
    </row>
    <row r="90" spans="1:9" ht="21" customHeight="1">
      <c r="A90" s="27"/>
      <c r="B90" s="26" t="s">
        <v>193</v>
      </c>
      <c r="C90" s="26" t="s">
        <v>305</v>
      </c>
      <c r="D90" s="12">
        <v>60006631992</v>
      </c>
      <c r="E90" s="30" t="s">
        <v>194</v>
      </c>
      <c r="F90" s="8">
        <v>312.25</v>
      </c>
      <c r="G90" s="8">
        <v>9.31</v>
      </c>
      <c r="H90" s="8">
        <v>0.13</v>
      </c>
      <c r="I90" s="9">
        <f t="shared" si="1"/>
        <v>321.69</v>
      </c>
    </row>
    <row r="91" spans="1:9" ht="21" customHeight="1">
      <c r="A91" s="27"/>
      <c r="B91" s="26" t="s">
        <v>195</v>
      </c>
      <c r="C91" s="26" t="s">
        <v>341</v>
      </c>
      <c r="D91" s="12">
        <v>60006632013</v>
      </c>
      <c r="E91" s="30" t="s">
        <v>196</v>
      </c>
      <c r="F91" s="8">
        <f>9.99/2</f>
        <v>4.995</v>
      </c>
      <c r="G91" s="8">
        <f>0.27/2</f>
        <v>0.135</v>
      </c>
      <c r="H91" s="8">
        <f>0.08/2</f>
        <v>0.04</v>
      </c>
      <c r="I91" s="9">
        <f t="shared" si="1"/>
        <v>5.17</v>
      </c>
    </row>
    <row r="92" spans="1:9" ht="21" customHeight="1">
      <c r="A92" s="27"/>
      <c r="B92" s="26" t="s">
        <v>197</v>
      </c>
      <c r="C92" s="26" t="s">
        <v>288</v>
      </c>
      <c r="D92" s="12">
        <v>60006632028</v>
      </c>
      <c r="E92" s="30" t="s">
        <v>198</v>
      </c>
      <c r="F92" s="8">
        <f>628.43/2</f>
        <v>314.215</v>
      </c>
      <c r="G92" s="8">
        <f>18.76/2</f>
        <v>9.38</v>
      </c>
      <c r="H92" s="8">
        <f>0.23/2</f>
        <v>0.115</v>
      </c>
      <c r="I92" s="9">
        <f t="shared" si="1"/>
        <v>323.71</v>
      </c>
    </row>
    <row r="93" spans="1:10" ht="21" customHeight="1">
      <c r="A93" s="27"/>
      <c r="B93" s="26" t="s">
        <v>199</v>
      </c>
      <c r="C93" s="26" t="s">
        <v>342</v>
      </c>
      <c r="D93" s="12">
        <v>60006632034</v>
      </c>
      <c r="E93" s="30" t="s">
        <v>200</v>
      </c>
      <c r="F93" s="8">
        <v>22.01</v>
      </c>
      <c r="G93" s="8">
        <v>0.65</v>
      </c>
      <c r="H93" s="8">
        <v>0.03</v>
      </c>
      <c r="I93" s="9">
        <f t="shared" si="1"/>
        <v>22.69</v>
      </c>
      <c r="J93" s="71"/>
    </row>
    <row r="94" spans="1:9" ht="21" customHeight="1">
      <c r="A94" s="27"/>
      <c r="B94" s="26" t="s">
        <v>201</v>
      </c>
      <c r="C94" s="26" t="s">
        <v>343</v>
      </c>
      <c r="D94" s="12">
        <v>60006637176</v>
      </c>
      <c r="E94" s="30" t="s">
        <v>202</v>
      </c>
      <c r="F94" s="8">
        <f>79.1/2</f>
        <v>39.55</v>
      </c>
      <c r="G94" s="8">
        <f>2.37/2</f>
        <v>1.185</v>
      </c>
      <c r="H94" s="8">
        <v>0</v>
      </c>
      <c r="I94" s="9">
        <f t="shared" si="1"/>
        <v>40.735</v>
      </c>
    </row>
    <row r="95" spans="1:9" ht="21" customHeight="1">
      <c r="A95" s="27"/>
      <c r="B95" s="26" t="s">
        <v>203</v>
      </c>
      <c r="C95" s="93"/>
      <c r="D95" s="12">
        <v>60006637235</v>
      </c>
      <c r="E95" s="30" t="s">
        <v>204</v>
      </c>
      <c r="F95" s="8">
        <f>29.12/2</f>
        <v>14.56</v>
      </c>
      <c r="G95" s="8">
        <f>0.84/2</f>
        <v>0.42</v>
      </c>
      <c r="H95" s="8">
        <f>0.08/2</f>
        <v>0.04</v>
      </c>
      <c r="I95" s="9">
        <f t="shared" si="1"/>
        <v>15.02</v>
      </c>
    </row>
    <row r="96" spans="1:9" ht="21" customHeight="1">
      <c r="A96" s="27"/>
      <c r="B96" s="26" t="s">
        <v>205</v>
      </c>
      <c r="C96" s="26" t="s">
        <v>306</v>
      </c>
      <c r="D96" s="12">
        <v>60006637714</v>
      </c>
      <c r="E96" s="30" t="s">
        <v>206</v>
      </c>
      <c r="F96" s="8">
        <f>85.12/2</f>
        <v>42.56</v>
      </c>
      <c r="G96" s="8">
        <f>2.46/2</f>
        <v>1.23</v>
      </c>
      <c r="H96" s="8">
        <f>0.21/2</f>
        <v>0.105</v>
      </c>
      <c r="I96" s="9">
        <f t="shared" si="1"/>
        <v>43.894999999999996</v>
      </c>
    </row>
    <row r="97" spans="1:9" ht="21" customHeight="1">
      <c r="A97" s="27"/>
      <c r="B97" s="26" t="s">
        <v>207</v>
      </c>
      <c r="C97" s="93"/>
      <c r="D97" s="12">
        <v>60006642108</v>
      </c>
      <c r="E97" s="30" t="s">
        <v>208</v>
      </c>
      <c r="F97" s="8">
        <f>29.12/2</f>
        <v>14.56</v>
      </c>
      <c r="G97" s="8">
        <f>0.84/2</f>
        <v>0.42</v>
      </c>
      <c r="H97" s="8">
        <f>0.08/2</f>
        <v>0.04</v>
      </c>
      <c r="I97" s="9">
        <f t="shared" si="1"/>
        <v>15.02</v>
      </c>
    </row>
    <row r="98" spans="1:9" ht="21" customHeight="1">
      <c r="A98" s="27"/>
      <c r="B98" s="26" t="s">
        <v>209</v>
      </c>
      <c r="C98" s="93"/>
      <c r="D98" s="12">
        <v>60006642114</v>
      </c>
      <c r="E98" s="30" t="s">
        <v>210</v>
      </c>
      <c r="F98" s="8">
        <f>29.12/2</f>
        <v>14.56</v>
      </c>
      <c r="G98" s="8">
        <f>0.84/2</f>
        <v>0.42</v>
      </c>
      <c r="H98" s="8">
        <f>0.08/2</f>
        <v>0.04</v>
      </c>
      <c r="I98" s="9">
        <f t="shared" si="1"/>
        <v>15.02</v>
      </c>
    </row>
    <row r="99" spans="1:9" ht="21" customHeight="1">
      <c r="A99" s="27"/>
      <c r="B99" s="26" t="s">
        <v>211</v>
      </c>
      <c r="C99" s="26" t="s">
        <v>290</v>
      </c>
      <c r="D99" s="12">
        <v>60006644426</v>
      </c>
      <c r="E99" s="30" t="s">
        <v>212</v>
      </c>
      <c r="F99" s="8">
        <v>67.3</v>
      </c>
      <c r="G99" s="8">
        <v>1.99</v>
      </c>
      <c r="H99" s="8">
        <v>0.06</v>
      </c>
      <c r="I99" s="9">
        <f t="shared" si="1"/>
        <v>69.35</v>
      </c>
    </row>
    <row r="100" spans="1:9" ht="21" customHeight="1">
      <c r="A100" s="27"/>
      <c r="B100" s="26" t="s">
        <v>213</v>
      </c>
      <c r="C100" s="93"/>
      <c r="D100" s="12">
        <v>60006644431</v>
      </c>
      <c r="E100" s="30" t="s">
        <v>214</v>
      </c>
      <c r="F100" s="8">
        <v>89.87</v>
      </c>
      <c r="G100" s="8">
        <v>2.67</v>
      </c>
      <c r="H100" s="8">
        <v>0.06</v>
      </c>
      <c r="I100" s="9">
        <f t="shared" si="1"/>
        <v>92.60000000000001</v>
      </c>
    </row>
    <row r="101" spans="1:9" ht="21" customHeight="1">
      <c r="A101" s="27"/>
      <c r="B101" s="26" t="s">
        <v>215</v>
      </c>
      <c r="C101" s="26" t="s">
        <v>344</v>
      </c>
      <c r="D101" s="12">
        <v>60006644654</v>
      </c>
      <c r="E101" s="30" t="s">
        <v>216</v>
      </c>
      <c r="F101" s="18">
        <f>45.39/2</f>
        <v>22.695</v>
      </c>
      <c r="G101" s="18">
        <f>1.33/2</f>
        <v>0.665</v>
      </c>
      <c r="H101" s="18">
        <f>0.08/2</f>
        <v>0.04</v>
      </c>
      <c r="I101" s="87">
        <f t="shared" si="1"/>
        <v>23.4</v>
      </c>
    </row>
    <row r="102" spans="1:10" ht="21" customHeight="1">
      <c r="A102" s="27"/>
      <c r="B102" s="26" t="s">
        <v>217</v>
      </c>
      <c r="C102" s="93"/>
      <c r="D102" s="12">
        <v>60007182237</v>
      </c>
      <c r="E102" s="30" t="s">
        <v>218</v>
      </c>
      <c r="F102" s="8"/>
      <c r="G102" s="8"/>
      <c r="H102" s="8"/>
      <c r="I102" s="9">
        <f t="shared" si="1"/>
        <v>0</v>
      </c>
      <c r="J102" s="71"/>
    </row>
    <row r="103" spans="1:9" ht="21" customHeight="1">
      <c r="A103" s="27"/>
      <c r="B103" s="26" t="s">
        <v>219</v>
      </c>
      <c r="C103" s="26" t="s">
        <v>354</v>
      </c>
      <c r="D103" s="12">
        <v>60007843211</v>
      </c>
      <c r="E103" s="30" t="s">
        <v>220</v>
      </c>
      <c r="F103" s="8">
        <v>35.54</v>
      </c>
      <c r="G103" s="8">
        <v>1.04</v>
      </c>
      <c r="H103" s="8">
        <v>0.06</v>
      </c>
      <c r="I103" s="9">
        <f t="shared" si="1"/>
        <v>36.64</v>
      </c>
    </row>
    <row r="104" spans="1:9" ht="21" customHeight="1">
      <c r="A104" s="27"/>
      <c r="B104" s="26" t="s">
        <v>221</v>
      </c>
      <c r="C104" s="26" t="s">
        <v>355</v>
      </c>
      <c r="D104" s="12">
        <v>60007843225</v>
      </c>
      <c r="E104" s="30" t="s">
        <v>222</v>
      </c>
      <c r="F104" s="8">
        <v>14.09</v>
      </c>
      <c r="G104" s="8">
        <v>0.4</v>
      </c>
      <c r="H104" s="8">
        <v>0.05</v>
      </c>
      <c r="I104" s="9">
        <f t="shared" si="1"/>
        <v>14.540000000000001</v>
      </c>
    </row>
    <row r="105" spans="1:9" ht="21" customHeight="1">
      <c r="A105" s="27"/>
      <c r="B105" s="26" t="s">
        <v>223</v>
      </c>
      <c r="C105" s="26" t="s">
        <v>347</v>
      </c>
      <c r="D105" s="12">
        <v>60007211343</v>
      </c>
      <c r="E105" s="30" t="s">
        <v>224</v>
      </c>
      <c r="F105" s="8">
        <v>10.37</v>
      </c>
      <c r="G105" s="8">
        <v>0.31</v>
      </c>
      <c r="H105" s="8">
        <v>0</v>
      </c>
      <c r="I105" s="9">
        <f t="shared" si="1"/>
        <v>10.68</v>
      </c>
    </row>
    <row r="106" spans="1:9" ht="21" customHeight="1">
      <c r="A106" s="27"/>
      <c r="B106" s="26" t="s">
        <v>225</v>
      </c>
      <c r="C106" s="26" t="s">
        <v>346</v>
      </c>
      <c r="D106" s="12">
        <v>60007211339</v>
      </c>
      <c r="E106" s="30" t="s">
        <v>226</v>
      </c>
      <c r="F106" s="8">
        <f>107.37/2</f>
        <v>53.685</v>
      </c>
      <c r="G106" s="8">
        <f>3.13/2</f>
        <v>1.565</v>
      </c>
      <c r="H106" s="8">
        <f>0.21/2</f>
        <v>0.105</v>
      </c>
      <c r="I106" s="9">
        <f t="shared" si="1"/>
        <v>55.355</v>
      </c>
    </row>
    <row r="107" spans="1:9" ht="21" customHeight="1">
      <c r="A107" s="27"/>
      <c r="B107" s="26" t="s">
        <v>227</v>
      </c>
      <c r="C107" s="26" t="s">
        <v>291</v>
      </c>
      <c r="D107" s="12">
        <v>60007239731</v>
      </c>
      <c r="E107" s="30" t="s">
        <v>228</v>
      </c>
      <c r="F107" s="8">
        <f>350.55/2</f>
        <v>175.275</v>
      </c>
      <c r="G107" s="8">
        <f>10.48/2</f>
        <v>5.24</v>
      </c>
      <c r="H107" s="8">
        <f>0.08/2</f>
        <v>0.04</v>
      </c>
      <c r="I107" s="9">
        <f t="shared" si="1"/>
        <v>180.555</v>
      </c>
    </row>
    <row r="108" spans="1:9" ht="21" customHeight="1">
      <c r="A108" s="27"/>
      <c r="B108" s="26" t="s">
        <v>229</v>
      </c>
      <c r="C108" s="26" t="s">
        <v>348</v>
      </c>
      <c r="D108" s="12">
        <v>60007483419</v>
      </c>
      <c r="E108" s="30" t="s">
        <v>230</v>
      </c>
      <c r="F108" s="8">
        <f>54.76/2</f>
        <v>27.38</v>
      </c>
      <c r="G108" s="8">
        <f>1.61/2</f>
        <v>0.805</v>
      </c>
      <c r="H108" s="8">
        <f>0.08/2</f>
        <v>0.04</v>
      </c>
      <c r="I108" s="9">
        <f t="shared" si="1"/>
        <v>28.224999999999998</v>
      </c>
    </row>
    <row r="109" spans="1:9" ht="21" customHeight="1">
      <c r="A109" s="27"/>
      <c r="B109" s="26" t="s">
        <v>231</v>
      </c>
      <c r="C109" s="26" t="s">
        <v>301</v>
      </c>
      <c r="D109" s="12">
        <v>60006579638</v>
      </c>
      <c r="E109" s="30" t="s">
        <v>232</v>
      </c>
      <c r="F109" s="8">
        <v>12.22</v>
      </c>
      <c r="G109" s="8">
        <v>0.34</v>
      </c>
      <c r="H109" s="8">
        <v>0.06</v>
      </c>
      <c r="I109" s="9">
        <f t="shared" si="1"/>
        <v>12.620000000000001</v>
      </c>
    </row>
    <row r="110" spans="1:9" ht="21" customHeight="1">
      <c r="A110" s="27"/>
      <c r="B110" s="26" t="s">
        <v>233</v>
      </c>
      <c r="C110" s="26" t="s">
        <v>349</v>
      </c>
      <c r="D110" s="12">
        <v>60006579657</v>
      </c>
      <c r="E110" s="30" t="s">
        <v>234</v>
      </c>
      <c r="F110" s="8">
        <v>111.44</v>
      </c>
      <c r="G110" s="8">
        <v>3.32</v>
      </c>
      <c r="H110" s="8">
        <v>0.06</v>
      </c>
      <c r="I110" s="9">
        <f t="shared" si="1"/>
        <v>114.82</v>
      </c>
    </row>
    <row r="111" spans="1:9" ht="21" customHeight="1">
      <c r="A111" s="27"/>
      <c r="B111" s="26" t="s">
        <v>235</v>
      </c>
      <c r="C111" s="93"/>
      <c r="D111" s="12">
        <v>60006579676</v>
      </c>
      <c r="E111" s="30" t="s">
        <v>236</v>
      </c>
      <c r="F111" s="8">
        <v>13.43</v>
      </c>
      <c r="G111" s="8">
        <v>0.38</v>
      </c>
      <c r="H111" s="8">
        <v>0.06</v>
      </c>
      <c r="I111" s="9">
        <f t="shared" si="1"/>
        <v>13.870000000000001</v>
      </c>
    </row>
    <row r="112" spans="1:9" ht="21" customHeight="1">
      <c r="A112" s="27"/>
      <c r="B112" s="26" t="s">
        <v>237</v>
      </c>
      <c r="C112" s="26" t="s">
        <v>351</v>
      </c>
      <c r="D112" s="12">
        <v>60007631681</v>
      </c>
      <c r="E112" s="30" t="s">
        <v>238</v>
      </c>
      <c r="F112" s="8">
        <v>14.7</v>
      </c>
      <c r="G112" s="8">
        <v>0.42</v>
      </c>
      <c r="H112" s="8">
        <v>0.05</v>
      </c>
      <c r="I112" s="9">
        <f t="shared" si="1"/>
        <v>15.17</v>
      </c>
    </row>
    <row r="113" spans="1:9" ht="21" customHeight="1">
      <c r="A113" s="27"/>
      <c r="B113" s="26" t="s">
        <v>239</v>
      </c>
      <c r="C113" s="26" t="s">
        <v>357</v>
      </c>
      <c r="D113" s="12">
        <v>60007848373</v>
      </c>
      <c r="E113" s="30" t="s">
        <v>240</v>
      </c>
      <c r="F113" s="8">
        <f>300.2/2</f>
        <v>150.1</v>
      </c>
      <c r="G113" s="8">
        <f>8.91/2</f>
        <v>4.455</v>
      </c>
      <c r="H113" s="8">
        <f>0.22/2</f>
        <v>0.11</v>
      </c>
      <c r="I113" s="9">
        <f t="shared" si="1"/>
        <v>154.66500000000002</v>
      </c>
    </row>
    <row r="114" spans="1:9" ht="21" customHeight="1">
      <c r="A114" s="27"/>
      <c r="B114" s="26" t="s">
        <v>241</v>
      </c>
      <c r="C114" s="26" t="s">
        <v>338</v>
      </c>
      <c r="D114" s="12">
        <v>60006631880</v>
      </c>
      <c r="E114" s="30" t="s">
        <v>242</v>
      </c>
      <c r="F114" s="8">
        <f>38.33/2</f>
        <v>19.165</v>
      </c>
      <c r="G114" s="8">
        <f>1.12/2</f>
        <v>0.56</v>
      </c>
      <c r="H114" s="8">
        <f>0.07/2</f>
        <v>0.035</v>
      </c>
      <c r="I114" s="9">
        <f t="shared" si="1"/>
        <v>19.759999999999998</v>
      </c>
    </row>
    <row r="115" spans="1:9" ht="21" customHeight="1">
      <c r="A115" s="27"/>
      <c r="B115" s="26" t="s">
        <v>243</v>
      </c>
      <c r="C115" s="26" t="s">
        <v>320</v>
      </c>
      <c r="D115" s="12">
        <v>60006631920</v>
      </c>
      <c r="E115" s="30" t="s">
        <v>244</v>
      </c>
      <c r="F115" s="8">
        <f>186.28/2</f>
        <v>93.14</v>
      </c>
      <c r="G115" s="8">
        <f>5.49/2</f>
        <v>2.745</v>
      </c>
      <c r="H115" s="8">
        <f>0.23/2</f>
        <v>0.115</v>
      </c>
      <c r="I115" s="9">
        <f t="shared" si="1"/>
        <v>96</v>
      </c>
    </row>
    <row r="116" spans="1:9" ht="21" customHeight="1">
      <c r="A116" s="27"/>
      <c r="B116" s="26" t="s">
        <v>245</v>
      </c>
      <c r="C116" s="26" t="s">
        <v>340</v>
      </c>
      <c r="D116" s="12">
        <v>60006631987</v>
      </c>
      <c r="E116" s="30" t="s">
        <v>246</v>
      </c>
      <c r="F116" s="8">
        <f>131.98/2</f>
        <v>65.99</v>
      </c>
      <c r="G116" s="8">
        <f>3.86/2</f>
        <v>1.93</v>
      </c>
      <c r="H116" s="8">
        <f>0.22/2</f>
        <v>0.11</v>
      </c>
      <c r="I116" s="9">
        <f t="shared" si="1"/>
        <v>68.03</v>
      </c>
    </row>
    <row r="117" spans="1:9" ht="21" customHeight="1">
      <c r="A117" s="27"/>
      <c r="B117" s="26" t="s">
        <v>247</v>
      </c>
      <c r="C117" s="26" t="s">
        <v>373</v>
      </c>
      <c r="D117" s="12">
        <v>60006632009</v>
      </c>
      <c r="E117" s="30" t="s">
        <v>248</v>
      </c>
      <c r="F117" s="8">
        <f>620.85/2</f>
        <v>310.425</v>
      </c>
      <c r="G117" s="8">
        <f>18.53/2</f>
        <v>9.265</v>
      </c>
      <c r="H117" s="8">
        <f>0.22/2</f>
        <v>0.11</v>
      </c>
      <c r="I117" s="9">
        <f t="shared" si="1"/>
        <v>319.8</v>
      </c>
    </row>
    <row r="118" spans="1:9" ht="21" customHeight="1">
      <c r="A118" s="27"/>
      <c r="B118" s="26" t="s">
        <v>249</v>
      </c>
      <c r="C118" s="26" t="s">
        <v>350</v>
      </c>
      <c r="D118" s="12">
        <v>60007611240</v>
      </c>
      <c r="E118" s="30" t="s">
        <v>250</v>
      </c>
      <c r="F118" s="8">
        <f>434.33/2</f>
        <v>217.165</v>
      </c>
      <c r="G118" s="8">
        <f>13/2</f>
        <v>6.5</v>
      </c>
      <c r="H118" s="8">
        <f>0.08/2</f>
        <v>0.04</v>
      </c>
      <c r="I118" s="9">
        <f t="shared" si="1"/>
        <v>223.70499999999998</v>
      </c>
    </row>
    <row r="119" spans="1:9" ht="21" customHeight="1">
      <c r="A119" s="27"/>
      <c r="B119" s="26" t="s">
        <v>251</v>
      </c>
      <c r="C119" s="26" t="s">
        <v>337</v>
      </c>
      <c r="D119" s="12">
        <v>60006613294</v>
      </c>
      <c r="E119" s="30" t="s">
        <v>252</v>
      </c>
      <c r="F119" s="8">
        <f>99.63/2</f>
        <v>49.815</v>
      </c>
      <c r="G119" s="8">
        <f>2.99/2</f>
        <v>1.495</v>
      </c>
      <c r="H119" s="8">
        <v>0</v>
      </c>
      <c r="I119" s="9">
        <f t="shared" si="1"/>
        <v>51.309999999999995</v>
      </c>
    </row>
    <row r="120" spans="1:9" ht="21" customHeight="1">
      <c r="A120" s="27"/>
      <c r="B120" s="26" t="s">
        <v>253</v>
      </c>
      <c r="C120" s="26" t="s">
        <v>303</v>
      </c>
      <c r="D120" s="12">
        <v>60006631725</v>
      </c>
      <c r="E120" s="30" t="s">
        <v>254</v>
      </c>
      <c r="F120" s="8">
        <f>233.11/2</f>
        <v>116.555</v>
      </c>
      <c r="G120" s="8">
        <f>6.96/2</f>
        <v>3.48</v>
      </c>
      <c r="H120" s="8">
        <f>0.08/2</f>
        <v>0.04</v>
      </c>
      <c r="I120" s="9">
        <f aca="true" t="shared" si="2" ref="I120:I130">SUM(F120:H120)</f>
        <v>120.07500000000002</v>
      </c>
    </row>
    <row r="121" spans="1:9" ht="21" customHeight="1">
      <c r="A121" s="27"/>
      <c r="B121" s="26" t="s">
        <v>255</v>
      </c>
      <c r="C121" s="26" t="s">
        <v>304</v>
      </c>
      <c r="D121" s="12">
        <v>60006631818</v>
      </c>
      <c r="E121" s="30" t="s">
        <v>256</v>
      </c>
      <c r="F121" s="8">
        <f>20.31*0.75</f>
        <v>15.232499999999998</v>
      </c>
      <c r="G121" s="8">
        <f>0.59*0.75</f>
        <v>0.4425</v>
      </c>
      <c r="H121" s="8">
        <f>0.05*0.75</f>
        <v>0.037500000000000006</v>
      </c>
      <c r="I121" s="9">
        <f t="shared" si="2"/>
        <v>15.712499999999999</v>
      </c>
    </row>
    <row r="122" spans="1:9" ht="21" customHeight="1">
      <c r="A122" s="28"/>
      <c r="B122" s="25" t="s">
        <v>257</v>
      </c>
      <c r="C122" s="95"/>
      <c r="D122" s="14">
        <v>60006631824</v>
      </c>
      <c r="E122" s="45" t="s">
        <v>258</v>
      </c>
      <c r="F122" s="15">
        <f>1369.16*0.5</f>
        <v>684.58</v>
      </c>
      <c r="G122" s="15">
        <f>40.99*0.5</f>
        <v>20.495</v>
      </c>
      <c r="H122" s="15">
        <f>0.2*0.5</f>
        <v>0.1</v>
      </c>
      <c r="I122" s="9">
        <f t="shared" si="2"/>
        <v>705.1750000000001</v>
      </c>
    </row>
    <row r="123" spans="1:9" ht="21" customHeight="1">
      <c r="A123" s="28"/>
      <c r="B123" s="25" t="s">
        <v>259</v>
      </c>
      <c r="C123" s="25" t="s">
        <v>345</v>
      </c>
      <c r="D123" s="14">
        <v>60006872372</v>
      </c>
      <c r="E123" s="45" t="s">
        <v>260</v>
      </c>
      <c r="F123" s="15">
        <v>29.95</v>
      </c>
      <c r="G123" s="15">
        <v>0.87</v>
      </c>
      <c r="H123" s="15">
        <v>0.06</v>
      </c>
      <c r="I123" s="9">
        <f t="shared" si="2"/>
        <v>30.88</v>
      </c>
    </row>
    <row r="124" spans="1:9" ht="21" customHeight="1">
      <c r="A124" s="28"/>
      <c r="B124" s="25" t="s">
        <v>261</v>
      </c>
      <c r="C124" s="25" t="s">
        <v>321</v>
      </c>
      <c r="D124" s="14">
        <v>60006974384</v>
      </c>
      <c r="E124" s="45" t="s">
        <v>262</v>
      </c>
      <c r="F124" s="15">
        <f>212.98/2</f>
        <v>106.49</v>
      </c>
      <c r="G124" s="15">
        <f>6.36/2</f>
        <v>3.18</v>
      </c>
      <c r="H124" s="15">
        <f>0.08/2</f>
        <v>0.04</v>
      </c>
      <c r="I124" s="9">
        <f t="shared" si="2"/>
        <v>109.71000000000001</v>
      </c>
    </row>
    <row r="125" spans="1:9" ht="21" customHeight="1">
      <c r="A125" s="28"/>
      <c r="B125" s="25" t="s">
        <v>263</v>
      </c>
      <c r="C125" s="25" t="s">
        <v>368</v>
      </c>
      <c r="D125" s="14">
        <v>60006581324</v>
      </c>
      <c r="E125" s="45" t="s">
        <v>264</v>
      </c>
      <c r="F125" s="15">
        <v>425.84</v>
      </c>
      <c r="G125" s="15">
        <v>12.74</v>
      </c>
      <c r="H125" s="15">
        <v>0.09</v>
      </c>
      <c r="I125" s="9">
        <f t="shared" si="2"/>
        <v>438.66999999999996</v>
      </c>
    </row>
    <row r="126" spans="1:9" ht="21" customHeight="1">
      <c r="A126" s="28"/>
      <c r="B126" s="25" t="s">
        <v>265</v>
      </c>
      <c r="C126" s="25" t="s">
        <v>352</v>
      </c>
      <c r="D126" s="14">
        <v>60007651627</v>
      </c>
      <c r="E126" s="45" t="s">
        <v>266</v>
      </c>
      <c r="F126" s="15">
        <v>14.84</v>
      </c>
      <c r="G126" s="15">
        <v>0.42</v>
      </c>
      <c r="H126" s="15">
        <v>0.05</v>
      </c>
      <c r="I126" s="9">
        <f t="shared" si="2"/>
        <v>15.31</v>
      </c>
    </row>
    <row r="127" spans="1:9" ht="21" customHeight="1">
      <c r="A127" s="28"/>
      <c r="B127" s="25" t="s">
        <v>267</v>
      </c>
      <c r="C127" s="95"/>
      <c r="D127" s="14">
        <v>83007351147</v>
      </c>
      <c r="E127" s="45" t="s">
        <v>268</v>
      </c>
      <c r="F127" s="15">
        <v>12.16</v>
      </c>
      <c r="G127" s="15">
        <v>0.34</v>
      </c>
      <c r="H127" s="15">
        <v>0.06</v>
      </c>
      <c r="I127" s="9">
        <f t="shared" si="2"/>
        <v>12.56</v>
      </c>
    </row>
    <row r="128" spans="1:9" ht="21" customHeight="1">
      <c r="A128" s="28"/>
      <c r="B128" s="25" t="s">
        <v>269</v>
      </c>
      <c r="C128" s="25"/>
      <c r="D128" s="14">
        <v>83007705623</v>
      </c>
      <c r="E128" s="45" t="s">
        <v>270</v>
      </c>
      <c r="F128" s="15">
        <v>21.76</v>
      </c>
      <c r="G128" s="15">
        <v>0.63</v>
      </c>
      <c r="H128" s="15">
        <v>0.06</v>
      </c>
      <c r="I128" s="9">
        <f t="shared" si="2"/>
        <v>22.45</v>
      </c>
    </row>
    <row r="129" spans="1:9" ht="21" customHeight="1">
      <c r="A129" s="28"/>
      <c r="B129" s="25" t="s">
        <v>271</v>
      </c>
      <c r="C129" s="25"/>
      <c r="D129" s="14">
        <v>83007812488</v>
      </c>
      <c r="E129" s="45" t="s">
        <v>272</v>
      </c>
      <c r="F129" s="15">
        <f>253.61/2</f>
        <v>126.805</v>
      </c>
      <c r="G129" s="15">
        <f>2.19/2</f>
        <v>1.095</v>
      </c>
      <c r="H129" s="15">
        <f>12.65/2</f>
        <v>6.325</v>
      </c>
      <c r="I129" s="9">
        <f t="shared" si="2"/>
        <v>134.225</v>
      </c>
    </row>
    <row r="130" spans="1:9" ht="21" customHeight="1">
      <c r="A130" s="28"/>
      <c r="B130" s="25" t="s">
        <v>273</v>
      </c>
      <c r="C130" s="25"/>
      <c r="D130" s="14">
        <v>83007946440</v>
      </c>
      <c r="E130" s="45" t="s">
        <v>274</v>
      </c>
      <c r="F130" s="15"/>
      <c r="G130" s="15"/>
      <c r="H130" s="15"/>
      <c r="I130" s="9">
        <f t="shared" si="2"/>
        <v>0</v>
      </c>
    </row>
    <row r="131" spans="1:9" ht="21" customHeight="1" thickBot="1">
      <c r="A131" s="10" t="s">
        <v>0</v>
      </c>
      <c r="B131" s="24"/>
      <c r="C131" s="24"/>
      <c r="D131" s="13"/>
      <c r="E131" s="13"/>
      <c r="F131" s="34"/>
      <c r="G131" s="34"/>
      <c r="H131" s="34"/>
      <c r="I131" s="38">
        <f>SUM(I8:I130)</f>
        <v>25140.102499999994</v>
      </c>
    </row>
    <row r="132" ht="13.5" thickTop="1"/>
  </sheetData>
  <sheetProtection/>
  <mergeCells count="3">
    <mergeCell ref="H3:I3"/>
    <mergeCell ref="G4:I4"/>
    <mergeCell ref="G2:I2"/>
  </mergeCells>
  <printOptions horizontalCentered="1"/>
  <pageMargins left="0.3937007874015748" right="0.3937007874015748" top="0.5905511811023623" bottom="0.5905511811023623" header="0" footer="0"/>
  <pageSetup fitToHeight="0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Angel Domingo Hernández Delgado</cp:lastModifiedBy>
  <cp:lastPrinted>2016-11-07T12:38:13Z</cp:lastPrinted>
  <dcterms:created xsi:type="dcterms:W3CDTF">2001-09-19T16:05:44Z</dcterms:created>
  <dcterms:modified xsi:type="dcterms:W3CDTF">2016-12-01T18:52:56Z</dcterms:modified>
  <cp:category/>
  <cp:version/>
  <cp:contentType/>
  <cp:contentStatus/>
</cp:coreProperties>
</file>